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6" yWindow="-126" windowWidth="22593" windowHeight="12806" tabRatio="808" activeTab="1"/>
  </bookViews>
  <sheets>
    <sheet name="11 ktgvetési mérleg" sheetId="11" r:id="rId1"/>
    <sheet name="1 bevétel-kiadás" sheetId="1" r:id="rId2"/>
    <sheet name="2 helyi adó bev." sheetId="2" r:id="rId3"/>
    <sheet name="3 tám.ért. bev." sheetId="3" r:id="rId4"/>
    <sheet name="4 ktgvetési tám. bev." sheetId="4" r:id="rId5"/>
    <sheet name="5 EU-s pr. bev-kiad." sheetId="5" r:id="rId6"/>
    <sheet name="6 Ber-Felúj. kiad." sheetId="6" r:id="rId7"/>
    <sheet name="7 átadott pénzeszk." sheetId="7" r:id="rId8"/>
    <sheet name="8 ellátotak jutt." sheetId="8" r:id="rId9"/>
    <sheet name="9 létszám" sheetId="9" r:id="rId10"/>
    <sheet name="10 közvetett tám-ok kiad." sheetId="14" r:id="rId11"/>
    <sheet name="12 EI felh.terv" sheetId="12" r:id="rId12"/>
    <sheet name="Munka1" sheetId="13" r:id="rId13"/>
  </sheets>
  <definedNames>
    <definedName name="_xlnm.Print_Area" localSheetId="1">'1 bevétel-kiadás'!$A$1:$P$68</definedName>
    <definedName name="_xlnm.Print_Area" localSheetId="10">'10 közvetett tám-ok kiad.'!$A$1:$E$31</definedName>
    <definedName name="_xlnm.Print_Area" localSheetId="0">'11 ktgvetési mérleg'!$A$1:$G$32</definedName>
    <definedName name="_xlnm.Print_Area" localSheetId="11">'12 EI felh.terv'!$A$1:$O$23</definedName>
    <definedName name="_xlnm.Print_Area" localSheetId="2">'2 helyi adó bev.'!$A$1:$J$12</definedName>
    <definedName name="_xlnm.Print_Area" localSheetId="3">'3 tám.ért. bev.'!$A$1:$J$31</definedName>
    <definedName name="_xlnm.Print_Area" localSheetId="4">'4 ktgvetési tám. bev.'!$A$1:$F$13</definedName>
    <definedName name="_xlnm.Print_Area" localSheetId="5">'5 EU-s pr. bev-kiad.'!$A$1:$F$10</definedName>
    <definedName name="_xlnm.Print_Area" localSheetId="7">'7 átadott pénzeszk.'!$A$1:$H$23</definedName>
    <definedName name="_xlnm.Print_Area" localSheetId="8">'8 ellátotak jutt.'!$A$1:$H$12</definedName>
  </definedNames>
  <calcPr calcId="125725"/>
</workbook>
</file>

<file path=xl/calcChain.xml><?xml version="1.0" encoding="utf-8"?>
<calcChain xmlns="http://schemas.openxmlformats.org/spreadsheetml/2006/main">
  <c r="M63" i="1"/>
  <c r="N63"/>
  <c r="O63"/>
  <c r="P63"/>
  <c r="L63"/>
  <c r="D7" i="7"/>
  <c r="D10"/>
  <c r="D19" i="6"/>
  <c r="D26" i="1"/>
  <c r="D14"/>
  <c r="F15"/>
  <c r="F9"/>
  <c r="C8" i="14"/>
  <c r="C7"/>
  <c r="P12" i="9"/>
  <c r="N12"/>
  <c r="J12"/>
  <c r="I12"/>
  <c r="H12"/>
  <c r="G12"/>
  <c r="F12"/>
  <c r="E12"/>
  <c r="D12"/>
  <c r="C12"/>
  <c r="M11"/>
  <c r="L11"/>
  <c r="O11" s="1"/>
  <c r="K11"/>
  <c r="M10"/>
  <c r="M12" s="1"/>
  <c r="L10"/>
  <c r="L12" s="1"/>
  <c r="K10"/>
  <c r="K12" s="1"/>
  <c r="O10" l="1"/>
  <c r="O12" s="1"/>
  <c r="C10" i="7" l="1"/>
  <c r="C7"/>
  <c r="D43" i="6" l="1"/>
  <c r="C43"/>
  <c r="H27"/>
  <c r="H28"/>
  <c r="H29"/>
  <c r="H30"/>
  <c r="H31"/>
  <c r="G31"/>
  <c r="G30"/>
  <c r="G29"/>
  <c r="G28"/>
  <c r="G27"/>
  <c r="C34"/>
  <c r="D9"/>
  <c r="D10"/>
  <c r="D11"/>
  <c r="D17"/>
  <c r="C17"/>
  <c r="C13"/>
  <c r="C11"/>
  <c r="C10"/>
  <c r="C9"/>
  <c r="D12" i="4"/>
  <c r="E12"/>
  <c r="C12"/>
  <c r="D12" i="3"/>
  <c r="C12"/>
  <c r="D11" i="11" l="1"/>
  <c r="C11"/>
  <c r="C53" i="1"/>
  <c r="C54"/>
  <c r="N21" i="12" l="1"/>
  <c r="M21"/>
  <c r="L21"/>
  <c r="K21"/>
  <c r="J21"/>
  <c r="I21"/>
  <c r="H21"/>
  <c r="G21"/>
  <c r="F21"/>
  <c r="E21"/>
  <c r="D21"/>
  <c r="C21"/>
  <c r="N19"/>
  <c r="M19"/>
  <c r="L19"/>
  <c r="K19"/>
  <c r="J19"/>
  <c r="I19"/>
  <c r="H19"/>
  <c r="G19"/>
  <c r="F19"/>
  <c r="E19"/>
  <c r="D19"/>
  <c r="C19"/>
  <c r="M10" i="6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40"/>
  <c r="I41"/>
  <c r="I42"/>
  <c r="D35"/>
  <c r="L35"/>
  <c r="N35"/>
  <c r="M41"/>
  <c r="M42"/>
  <c r="J41"/>
  <c r="J42"/>
  <c r="G22" i="3" l="1"/>
  <c r="G23"/>
  <c r="G24"/>
  <c r="G25"/>
  <c r="G26"/>
  <c r="G27"/>
  <c r="F29" i="11" l="1"/>
  <c r="O61" i="1"/>
  <c r="M61"/>
  <c r="L61"/>
  <c r="G29" i="11" s="1"/>
  <c r="K61" i="1"/>
  <c r="K41" i="6"/>
  <c r="K42" l="1"/>
  <c r="F8" i="7" l="1"/>
  <c r="H8"/>
  <c r="D9" i="5"/>
  <c r="C9"/>
  <c r="D44" i="6" l="1"/>
  <c r="I9"/>
  <c r="O26" i="1"/>
  <c r="M26"/>
  <c r="L26"/>
  <c r="D23" i="11" s="1"/>
  <c r="K26" i="1"/>
  <c r="C23" i="11" s="1"/>
  <c r="D11" i="2" l="1"/>
  <c r="J28" i="3" l="1"/>
  <c r="H28"/>
  <c r="F28"/>
  <c r="E28"/>
  <c r="D28"/>
  <c r="C28"/>
  <c r="I27"/>
  <c r="I26"/>
  <c r="I25"/>
  <c r="I24"/>
  <c r="I23"/>
  <c r="I22"/>
  <c r="I21"/>
  <c r="G21"/>
  <c r="J15"/>
  <c r="H15"/>
  <c r="F15"/>
  <c r="E15"/>
  <c r="D15"/>
  <c r="C15"/>
  <c r="I14"/>
  <c r="G14"/>
  <c r="I13"/>
  <c r="G13"/>
  <c r="I12"/>
  <c r="G12"/>
  <c r="I11"/>
  <c r="G11"/>
  <c r="I10"/>
  <c r="G10"/>
  <c r="I28" l="1"/>
  <c r="E30"/>
  <c r="J30"/>
  <c r="H30"/>
  <c r="G28"/>
  <c r="I15"/>
  <c r="F30"/>
  <c r="G15"/>
  <c r="C30"/>
  <c r="D30"/>
  <c r="I30" l="1"/>
  <c r="G30"/>
  <c r="D10" i="11"/>
  <c r="D9" s="1"/>
  <c r="C10"/>
  <c r="C9" s="1"/>
  <c r="O62" i="1"/>
  <c r="M62"/>
  <c r="L62"/>
  <c r="G30" i="11" s="1"/>
  <c r="K62" i="1"/>
  <c r="F30" i="11" s="1"/>
  <c r="P59" i="1"/>
  <c r="O58"/>
  <c r="M58"/>
  <c r="L58"/>
  <c r="K58"/>
  <c r="O57"/>
  <c r="M57"/>
  <c r="L57"/>
  <c r="K57"/>
  <c r="O56"/>
  <c r="M56"/>
  <c r="L56"/>
  <c r="L55" s="1"/>
  <c r="G25" i="11" s="1"/>
  <c r="K56" i="1"/>
  <c r="F26" i="11" s="1"/>
  <c r="N55" i="1"/>
  <c r="N59" s="1"/>
  <c r="J55"/>
  <c r="J59" s="1"/>
  <c r="I55"/>
  <c r="I59" s="1"/>
  <c r="H55"/>
  <c r="H59" s="1"/>
  <c r="G55"/>
  <c r="G59" s="1"/>
  <c r="F55"/>
  <c r="F59" s="1"/>
  <c r="E55"/>
  <c r="E59" s="1"/>
  <c r="D55"/>
  <c r="C55"/>
  <c r="O51"/>
  <c r="M51"/>
  <c r="L51"/>
  <c r="G21" i="11" s="1"/>
  <c r="K51" i="1"/>
  <c r="F21" i="11" s="1"/>
  <c r="O50" i="1"/>
  <c r="M50"/>
  <c r="L50"/>
  <c r="K50"/>
  <c r="N49"/>
  <c r="J49"/>
  <c r="I49"/>
  <c r="H49"/>
  <c r="G49"/>
  <c r="F49"/>
  <c r="E49"/>
  <c r="D49"/>
  <c r="C49"/>
  <c r="O48"/>
  <c r="M48"/>
  <c r="L48"/>
  <c r="G18" i="11" s="1"/>
  <c r="K48" i="1"/>
  <c r="F18" i="11" s="1"/>
  <c r="P47" i="1"/>
  <c r="P42" s="1"/>
  <c r="P52" s="1"/>
  <c r="O47"/>
  <c r="N47"/>
  <c r="N42" s="1"/>
  <c r="L47"/>
  <c r="G17" i="11" s="1"/>
  <c r="K47" i="1"/>
  <c r="F17" i="11" s="1"/>
  <c r="O46" i="1"/>
  <c r="L46"/>
  <c r="G16" i="11" s="1"/>
  <c r="K46" i="1"/>
  <c r="O45"/>
  <c r="L45"/>
  <c r="G15" i="11" s="1"/>
  <c r="K45" i="1"/>
  <c r="F15" i="11" s="1"/>
  <c r="O44" i="1"/>
  <c r="M44"/>
  <c r="L44"/>
  <c r="G14" i="11" s="1"/>
  <c r="K44" i="1"/>
  <c r="F14" i="11" s="1"/>
  <c r="O43" i="1"/>
  <c r="M43"/>
  <c r="L43"/>
  <c r="G13" i="11" s="1"/>
  <c r="K43" i="1"/>
  <c r="F13" i="11" s="1"/>
  <c r="J42" i="1"/>
  <c r="I42"/>
  <c r="H42"/>
  <c r="G42"/>
  <c r="F42"/>
  <c r="E42"/>
  <c r="D42"/>
  <c r="C42"/>
  <c r="D41"/>
  <c r="O41" s="1"/>
  <c r="C41"/>
  <c r="M41" s="1"/>
  <c r="O40"/>
  <c r="M40"/>
  <c r="L40"/>
  <c r="G10" i="11" s="1"/>
  <c r="K40" i="1"/>
  <c r="F10" i="11" s="1"/>
  <c r="O39" i="1"/>
  <c r="M39"/>
  <c r="L39"/>
  <c r="G9" i="11" s="1"/>
  <c r="K39" i="1"/>
  <c r="F9" i="11" s="1"/>
  <c r="O38" i="1"/>
  <c r="M38"/>
  <c r="L38"/>
  <c r="G8" i="11" s="1"/>
  <c r="K38" i="1"/>
  <c r="F8" i="11" s="1"/>
  <c r="O30" i="1"/>
  <c r="M30"/>
  <c r="L30"/>
  <c r="K30"/>
  <c r="O28"/>
  <c r="M28"/>
  <c r="L28"/>
  <c r="D25" i="11" s="1"/>
  <c r="K28" i="1"/>
  <c r="C25" i="11" s="1"/>
  <c r="O27" i="1"/>
  <c r="M27"/>
  <c r="L27"/>
  <c r="D24" i="11" s="1"/>
  <c r="K27" i="1"/>
  <c r="C24" i="11" s="1"/>
  <c r="J24" i="1"/>
  <c r="I24"/>
  <c r="H24"/>
  <c r="G24"/>
  <c r="F24"/>
  <c r="E24"/>
  <c r="D24"/>
  <c r="C24"/>
  <c r="O23"/>
  <c r="M23"/>
  <c r="L23"/>
  <c r="K23"/>
  <c r="O22"/>
  <c r="M22"/>
  <c r="L22"/>
  <c r="D20" i="11" s="1"/>
  <c r="K22" i="1"/>
  <c r="C20" i="11" s="1"/>
  <c r="O21" i="1"/>
  <c r="M21"/>
  <c r="L21"/>
  <c r="D19" i="11" s="1"/>
  <c r="K21" i="1"/>
  <c r="C19" i="11" s="1"/>
  <c r="O20" i="1"/>
  <c r="M20"/>
  <c r="L20"/>
  <c r="D18" i="11" s="1"/>
  <c r="K20" i="1"/>
  <c r="C18" i="11" s="1"/>
  <c r="O19" i="1"/>
  <c r="M19"/>
  <c r="L19"/>
  <c r="D17" i="11" s="1"/>
  <c r="K19" i="1"/>
  <c r="C17" i="11" s="1"/>
  <c r="O17" i="1"/>
  <c r="M17"/>
  <c r="L17"/>
  <c r="D15" i="11" s="1"/>
  <c r="K17" i="1"/>
  <c r="C15" i="11" s="1"/>
  <c r="O16" i="1"/>
  <c r="M16"/>
  <c r="L16"/>
  <c r="D14" i="11" s="1"/>
  <c r="K16" i="1"/>
  <c r="C14" i="11" s="1"/>
  <c r="O15" i="1"/>
  <c r="M15"/>
  <c r="L15"/>
  <c r="D13" i="11" s="1"/>
  <c r="K15" i="1"/>
  <c r="C13" i="11" s="1"/>
  <c r="O14" i="1"/>
  <c r="M14"/>
  <c r="L14"/>
  <c r="D12" i="11" s="1"/>
  <c r="K14" i="1"/>
  <c r="C12" i="11" s="1"/>
  <c r="O13" i="1"/>
  <c r="M13"/>
  <c r="L13"/>
  <c r="K13"/>
  <c r="O12"/>
  <c r="M12"/>
  <c r="L12"/>
  <c r="K12"/>
  <c r="O11"/>
  <c r="M11"/>
  <c r="L11"/>
  <c r="K11"/>
  <c r="J10"/>
  <c r="J18" s="1"/>
  <c r="I10"/>
  <c r="I18" s="1"/>
  <c r="H10"/>
  <c r="H18" s="1"/>
  <c r="G10"/>
  <c r="G18" s="1"/>
  <c r="F10"/>
  <c r="F18" s="1"/>
  <c r="E10"/>
  <c r="E18" s="1"/>
  <c r="D10"/>
  <c r="D18" s="1"/>
  <c r="C10"/>
  <c r="O9"/>
  <c r="M9"/>
  <c r="L9"/>
  <c r="D8" i="11" s="1"/>
  <c r="K9" i="1"/>
  <c r="C8" i="11" s="1"/>
  <c r="M10" i="1" l="1"/>
  <c r="M55"/>
  <c r="K49"/>
  <c r="L49"/>
  <c r="M49"/>
  <c r="E52"/>
  <c r="E60" s="1"/>
  <c r="E63" s="1"/>
  <c r="O10" i="12" s="1"/>
  <c r="G52" i="1"/>
  <c r="G60" s="1"/>
  <c r="G63" s="1"/>
  <c r="O11" i="12" s="1"/>
  <c r="H52" i="1"/>
  <c r="H60" s="1"/>
  <c r="H63" s="1"/>
  <c r="K55"/>
  <c r="F25" i="11" s="1"/>
  <c r="O42" i="1"/>
  <c r="I52"/>
  <c r="I60" s="1"/>
  <c r="I63" s="1"/>
  <c r="O12" i="12" s="1"/>
  <c r="K42" i="1"/>
  <c r="F52"/>
  <c r="F60" s="1"/>
  <c r="F63" s="1"/>
  <c r="J52"/>
  <c r="J60" s="1"/>
  <c r="J63" s="1"/>
  <c r="D16" i="11"/>
  <c r="F16"/>
  <c r="F12" s="1"/>
  <c r="M46" i="1"/>
  <c r="M42" s="1"/>
  <c r="G26" i="11"/>
  <c r="C21"/>
  <c r="C16"/>
  <c r="G20"/>
  <c r="G19" s="1"/>
  <c r="F25" i="1"/>
  <c r="F29" s="1"/>
  <c r="O19" i="12" s="1"/>
  <c r="F20" i="11"/>
  <c r="F19" s="1"/>
  <c r="G12"/>
  <c r="D21"/>
  <c r="D25" i="1"/>
  <c r="D29" s="1"/>
  <c r="O18" i="12" s="1"/>
  <c r="O55" i="1"/>
  <c r="L42"/>
  <c r="J25"/>
  <c r="J29" s="1"/>
  <c r="O21" i="12" s="1"/>
  <c r="H25" i="1"/>
  <c r="H29" s="1"/>
  <c r="O20" i="12" s="1"/>
  <c r="C52" i="1"/>
  <c r="D52"/>
  <c r="O18"/>
  <c r="L18"/>
  <c r="N52"/>
  <c r="N60" s="1"/>
  <c r="E25"/>
  <c r="E29" s="1"/>
  <c r="G25"/>
  <c r="G29" s="1"/>
  <c r="I25"/>
  <c r="I29" s="1"/>
  <c r="P60"/>
  <c r="C18"/>
  <c r="C25" s="1"/>
  <c r="K24"/>
  <c r="M24"/>
  <c r="K41"/>
  <c r="L10"/>
  <c r="O10"/>
  <c r="K10"/>
  <c r="L24"/>
  <c r="O24"/>
  <c r="L41"/>
  <c r="G11" i="11" s="1"/>
  <c r="O49" i="1"/>
  <c r="M52" l="1"/>
  <c r="N20" i="12"/>
  <c r="J20"/>
  <c r="M20"/>
  <c r="L20"/>
  <c r="K20"/>
  <c r="I20"/>
  <c r="G20"/>
  <c r="F20"/>
  <c r="H20"/>
  <c r="E20"/>
  <c r="D20"/>
  <c r="C20"/>
  <c r="O22"/>
  <c r="O52" i="1"/>
  <c r="C22" i="11"/>
  <c r="C26" s="1"/>
  <c r="F22"/>
  <c r="F31" i="1"/>
  <c r="G22" i="11"/>
  <c r="D22"/>
  <c r="D26" s="1"/>
  <c r="H32" i="1"/>
  <c r="K52"/>
  <c r="F11" i="11"/>
  <c r="L52" i="1"/>
  <c r="J31"/>
  <c r="O25"/>
  <c r="L25"/>
  <c r="J32"/>
  <c r="H31"/>
  <c r="G32"/>
  <c r="G31"/>
  <c r="C29"/>
  <c r="M25"/>
  <c r="K25"/>
  <c r="M18"/>
  <c r="K18"/>
  <c r="I32"/>
  <c r="I31"/>
  <c r="E32"/>
  <c r="E31"/>
  <c r="O29"/>
  <c r="L29"/>
  <c r="F32"/>
  <c r="M29" l="1"/>
  <c r="K29"/>
  <c r="H34" i="6" l="1"/>
  <c r="H35" s="1"/>
  <c r="G34"/>
  <c r="G35" s="1"/>
  <c r="F34"/>
  <c r="F35" s="1"/>
  <c r="E34"/>
  <c r="K33"/>
  <c r="J33"/>
  <c r="M9"/>
  <c r="K9"/>
  <c r="J9"/>
  <c r="M40"/>
  <c r="K40"/>
  <c r="J40"/>
  <c r="E35" l="1"/>
  <c r="I34"/>
  <c r="I35" s="1"/>
  <c r="K34"/>
  <c r="K35" s="1"/>
  <c r="M34"/>
  <c r="M35" s="1"/>
  <c r="J34"/>
  <c r="J35" s="1"/>
  <c r="C35"/>
  <c r="K53" i="1" l="1"/>
  <c r="D11" i="8"/>
  <c r="D13" i="7"/>
  <c r="E8" i="5"/>
  <c r="E9" s="1"/>
  <c r="C11" i="2"/>
  <c r="L53" i="1" l="1"/>
  <c r="O53"/>
  <c r="F23" i="11"/>
  <c r="M53" i="1"/>
  <c r="G7" i="8"/>
  <c r="E7"/>
  <c r="E10"/>
  <c r="G10"/>
  <c r="G23" i="11" l="1"/>
  <c r="G9" i="8"/>
  <c r="E9"/>
  <c r="D47" i="6"/>
  <c r="I43"/>
  <c r="I44" s="1"/>
  <c r="I47" s="1"/>
  <c r="J43"/>
  <c r="K43"/>
  <c r="K44" s="1"/>
  <c r="K47" s="1"/>
  <c r="M43"/>
  <c r="F11" i="4"/>
  <c r="E10" i="2"/>
  <c r="C21" i="14"/>
  <c r="D29"/>
  <c r="C29"/>
  <c r="D25"/>
  <c r="C25"/>
  <c r="D21"/>
  <c r="D17"/>
  <c r="C17"/>
  <c r="D13"/>
  <c r="C13"/>
  <c r="H11" i="8"/>
  <c r="F11"/>
  <c r="C44" i="6"/>
  <c r="D12" i="12"/>
  <c r="E12"/>
  <c r="F12"/>
  <c r="G12"/>
  <c r="H12"/>
  <c r="I12"/>
  <c r="J12"/>
  <c r="K12"/>
  <c r="L12"/>
  <c r="M12"/>
  <c r="N12"/>
  <c r="C12"/>
  <c r="D10"/>
  <c r="E10"/>
  <c r="F10"/>
  <c r="G10"/>
  <c r="H10"/>
  <c r="I10"/>
  <c r="J10"/>
  <c r="K10"/>
  <c r="L10"/>
  <c r="M10"/>
  <c r="N10"/>
  <c r="C10"/>
  <c r="C11" i="8"/>
  <c r="E9" i="4"/>
  <c r="F10"/>
  <c r="E10"/>
  <c r="G8" i="8"/>
  <c r="G11" s="1"/>
  <c r="E8"/>
  <c r="F11" i="2"/>
  <c r="H11"/>
  <c r="G7"/>
  <c r="G8"/>
  <c r="G9"/>
  <c r="G10"/>
  <c r="E7"/>
  <c r="E8"/>
  <c r="E9"/>
  <c r="F8" i="4"/>
  <c r="F9"/>
  <c r="F7"/>
  <c r="G6" i="2"/>
  <c r="E6"/>
  <c r="F18" i="7"/>
  <c r="H18"/>
  <c r="F19"/>
  <c r="H19"/>
  <c r="F20"/>
  <c r="H20"/>
  <c r="F21"/>
  <c r="H21"/>
  <c r="H17"/>
  <c r="F17"/>
  <c r="H9"/>
  <c r="H10"/>
  <c r="H11"/>
  <c r="H12"/>
  <c r="H7"/>
  <c r="F9"/>
  <c r="F10"/>
  <c r="F11"/>
  <c r="F12"/>
  <c r="F7"/>
  <c r="G22"/>
  <c r="E22"/>
  <c r="E13"/>
  <c r="D22"/>
  <c r="C22"/>
  <c r="C13"/>
  <c r="L44" i="6"/>
  <c r="L47" s="1"/>
  <c r="N44"/>
  <c r="N47" s="1"/>
  <c r="H44"/>
  <c r="H47" s="1"/>
  <c r="G44"/>
  <c r="G47" s="1"/>
  <c r="F44"/>
  <c r="F47" s="1"/>
  <c r="E44"/>
  <c r="E47" s="1"/>
  <c r="E8" i="4"/>
  <c r="E7"/>
  <c r="G13" i="7"/>
  <c r="F12" i="4" l="1"/>
  <c r="H22" i="7"/>
  <c r="C47" i="6"/>
  <c r="F22" i="7"/>
  <c r="E11" i="2"/>
  <c r="E11" i="4"/>
  <c r="J44" i="6"/>
  <c r="J47" s="1"/>
  <c r="G11" i="2"/>
  <c r="H13" i="7"/>
  <c r="D30" i="14"/>
  <c r="F13" i="7"/>
  <c r="M44" i="6"/>
  <c r="M47" s="1"/>
  <c r="C30" i="14"/>
  <c r="E11" i="8"/>
  <c r="K54" i="1" l="1"/>
  <c r="M54"/>
  <c r="M59" s="1"/>
  <c r="M60" s="1"/>
  <c r="C59"/>
  <c r="C60" s="1"/>
  <c r="C63" s="1"/>
  <c r="J11" i="12"/>
  <c r="H11"/>
  <c r="L11"/>
  <c r="I11"/>
  <c r="E11"/>
  <c r="F11"/>
  <c r="C11"/>
  <c r="D11"/>
  <c r="M11"/>
  <c r="K11"/>
  <c r="G11"/>
  <c r="N11"/>
  <c r="L54" i="1" l="1"/>
  <c r="O54"/>
  <c r="O59" s="1"/>
  <c r="O60" s="1"/>
  <c r="D59"/>
  <c r="D60" s="1"/>
  <c r="D63" s="1"/>
  <c r="F24" i="11"/>
  <c r="F27" s="1"/>
  <c r="F28" s="1"/>
  <c r="F31" s="1"/>
  <c r="K59" i="1"/>
  <c r="K60" s="1"/>
  <c r="K63" s="1"/>
  <c r="O9" i="12"/>
  <c r="C31" i="1"/>
  <c r="C32"/>
  <c r="G9" i="12" l="1"/>
  <c r="G13" s="1"/>
  <c r="C18"/>
  <c r="C22" s="1"/>
  <c r="K18"/>
  <c r="K22" s="1"/>
  <c r="H18"/>
  <c r="H22" s="1"/>
  <c r="F18"/>
  <c r="F22" s="1"/>
  <c r="N18"/>
  <c r="N22" s="1"/>
  <c r="M18"/>
  <c r="M22" s="1"/>
  <c r="D18"/>
  <c r="D22" s="1"/>
  <c r="L18"/>
  <c r="L22" s="1"/>
  <c r="J18"/>
  <c r="J22" s="1"/>
  <c r="E18"/>
  <c r="E22" s="1"/>
  <c r="I18"/>
  <c r="I22" s="1"/>
  <c r="G18"/>
  <c r="G22" s="1"/>
  <c r="L9"/>
  <c r="L13" s="1"/>
  <c r="O13"/>
  <c r="F9"/>
  <c r="F13" s="1"/>
  <c r="I9"/>
  <c r="I13" s="1"/>
  <c r="C9"/>
  <c r="C13" s="1"/>
  <c r="G24" i="11"/>
  <c r="L59" i="1"/>
  <c r="L60" s="1"/>
  <c r="M31"/>
  <c r="K31"/>
  <c r="D32"/>
  <c r="D31"/>
  <c r="N9" i="12"/>
  <c r="N13" s="1"/>
  <c r="D9"/>
  <c r="D13" s="1"/>
  <c r="K9"/>
  <c r="K13" s="1"/>
  <c r="K32" i="1"/>
  <c r="M32"/>
  <c r="E9" i="12"/>
  <c r="E13" s="1"/>
  <c r="H9"/>
  <c r="H13" s="1"/>
  <c r="M9"/>
  <c r="M13" s="1"/>
  <c r="J9"/>
  <c r="J13" s="1"/>
  <c r="G31" i="11" l="1"/>
  <c r="G27"/>
  <c r="G28" s="1"/>
  <c r="L31" i="1"/>
  <c r="O31"/>
  <c r="O32"/>
  <c r="L32"/>
</calcChain>
</file>

<file path=xl/sharedStrings.xml><?xml version="1.0" encoding="utf-8"?>
<sst xmlns="http://schemas.openxmlformats.org/spreadsheetml/2006/main" count="682" uniqueCount="321">
  <si>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</si>
  <si>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</si>
  <si>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</si>
  <si>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</si>
  <si>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</si>
  <si>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</si>
  <si>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</si>
  <si>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</si>
  <si>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</si>
  <si>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</si>
  <si>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</si>
  <si>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</si>
  <si>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</si>
  <si>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</si>
  <si>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</si>
  <si>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</si>
  <si>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</si>
  <si>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</si>
  <si>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</si>
  <si>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</si>
  <si>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</si>
  <si>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</si>
  <si>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</si>
  <si>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</si>
  <si>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</si>
  <si>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</si>
  <si>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</si>
  <si>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</si>
  <si>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</si>
  <si>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</si>
  <si>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</si>
  <si>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>BEVÉTELEK ÖSSZESEN:*</t>
  </si>
  <si>
    <t xml:space="preserve">Előző évek előirányzat-maradványának, pénzmaradványának és előző évek vállalkozási maradványának igénybevétele </t>
  </si>
  <si>
    <t xml:space="preserve">Finanszírozási bevételek  </t>
  </si>
  <si>
    <t>BEVÉTELEK MINDÖSSZESEN:*</t>
  </si>
  <si>
    <t>Költségvetési hiány  (BEVÉTELEK ÖSSZESEN-KIADÁSOK ÖSSZESEN (-) )</t>
  </si>
  <si>
    <t>Költségvetési többlet (BEVÉTELEK ÖSSZESEN-KIADÁSOK ÖSSZESEN (+) )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</si>
  <si>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</si>
  <si>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</si>
  <si>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</si>
  <si>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</si>
  <si>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</si>
  <si>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</si>
  <si>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</si>
  <si>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</si>
  <si>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</si>
  <si>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</si>
  <si>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</si>
  <si>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</si>
  <si>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befektetési célú részesedések vásárlása 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</si>
  <si>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</si>
  <si>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</si>
  <si>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</si>
  <si>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KIADÁSOK ÖSSZESEN:*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</si>
  <si>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</si>
  <si>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</si>
  <si>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</si>
  <si>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</si>
  <si>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</si>
  <si>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</si>
  <si>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</si>
  <si>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</si>
  <si>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</si>
  <si>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</si>
  <si>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</si>
  <si>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</si>
  <si>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</si>
  <si>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</si>
  <si>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</si>
  <si>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</si>
  <si>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</si>
  <si>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</si>
  <si>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adatok Ft-ban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</si>
  <si>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</si>
  <si>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</si>
  <si>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</si>
  <si>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</si>
  <si>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</si>
  <si>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</si>
  <si>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</si>
  <si>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</si>
  <si>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Felhalmozási kiadások összesen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</si>
  <si>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</si>
  <si>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</si>
  <si>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</si>
  <si>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</si>
  <si>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</si>
  <si>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</si>
  <si>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</si>
  <si>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</si>
  <si>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</si>
  <si>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</si>
  <si>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D </t>
  </si>
  <si>
    <t xml:space="preserve">  Irányító szerv alá tartozó költségvetési szervnek folyósított működési támogatás</t>
  </si>
  <si>
    <t>MŰKÖDÉSI KIADÁSOK ÖSSZESEN*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</si>
  <si>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</si>
  <si>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</si>
  <si>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</si>
  <si>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</si>
  <si>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</si>
  <si>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</si>
  <si>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</si>
  <si>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</si>
  <si>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</si>
  <si>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</si>
  <si>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</si>
  <si>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</si>
  <si>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</si>
  <si>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</si>
  <si>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</si>
  <si>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</si>
  <si>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</si>
  <si>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</si>
  <si>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</si>
  <si>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</si>
  <si>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</si>
  <si>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Költségvetési bevételek összesen</t>
  </si>
  <si>
    <t xml:space="preserve">  Ellátottak juttatásai,  társadalom-, szociálpolitikai és egyéb juttatás, támogatás</t>
  </si>
  <si>
    <t>Műk.c.tám. NONPROFIT GAZD.TÁRS.</t>
  </si>
  <si>
    <t>Műk.c.tám. EGYÉB CIVIL SZERV. (alapítvány, egyesület, helyi szervezet)</t>
  </si>
  <si>
    <t>Műk.c.tám. EGYÉB VÁLLALKOZÁSOK</t>
  </si>
  <si>
    <t>Felh.c.tám. NONPROFIT GAZD.TÁRS.</t>
  </si>
  <si>
    <t>Felh.c.tám. EGYÉB CIVIL SZERV. (alapítvány, egyesület, helyi szervezet)</t>
  </si>
  <si>
    <t>Felh.c.tám. HÁZTARTÁSOK</t>
  </si>
  <si>
    <t>Első lakáshoz jutók tám. Önk.rend.</t>
  </si>
  <si>
    <t>Szakmai</t>
  </si>
  <si>
    <t xml:space="preserve">Intézmény üzemeltetéshez kapcsolódó </t>
  </si>
  <si>
    <t>jegyző 1</t>
  </si>
  <si>
    <t>aljegyző 1</t>
  </si>
  <si>
    <t>int.vez. 1</t>
  </si>
  <si>
    <t>int.vez.h. 1</t>
  </si>
  <si>
    <t xml:space="preserve">Előző évi működési célú előirányzat-maradvány, pénzmaradvány  összesen </t>
  </si>
  <si>
    <t xml:space="preserve">B </t>
  </si>
  <si>
    <t>Helyi adónál, gépjárműadónál biztosított kedvezmény, mentesség összege adónemenként</t>
  </si>
  <si>
    <t>Bevétel kedvezmény nélkül</t>
  </si>
  <si>
    <t>Adott kedvezmény</t>
  </si>
  <si>
    <t>Megjegyzés/hivatkozás</t>
  </si>
  <si>
    <t>méltányossági alapon, valamint az állandó lakosok 25 nm kedvezménye</t>
  </si>
  <si>
    <t xml:space="preserve">méltányossági alapon </t>
  </si>
  <si>
    <t>adóelőleg csökkentés méltányossági alapon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</si>
  <si>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</si>
  <si>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</si>
  <si>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</si>
  <si>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</si>
  <si>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</si>
  <si>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</si>
  <si>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</si>
  <si>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</si>
  <si>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</si>
  <si>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</si>
  <si>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</si>
  <si>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</si>
  <si>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</si>
  <si>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</si>
  <si>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</si>
  <si>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 xml:space="preserve">BEVÉTELEK </t>
  </si>
  <si>
    <t xml:space="preserve">KIADÁSOK 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</si>
  <si>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</si>
  <si>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</si>
  <si>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ÁFA</t>
  </si>
  <si>
    <t xml:space="preserve">M </t>
  </si>
  <si>
    <t>könyvtáros 1</t>
  </si>
  <si>
    <t>Beiskolázási támogatás</t>
  </si>
  <si>
    <t>Ellátottak pénzbeli juttatásai</t>
  </si>
  <si>
    <t>Rendszeres gyermekvédelmi kedvezmény (Erzsébet utalvány)</t>
  </si>
  <si>
    <t>Átmeneti segély, temetési segély, rendk.gyv.tám., Szoc.tv. 45.§ Önk.rend.</t>
  </si>
  <si>
    <t>Napraforgó Óvoda és Bölcsőde</t>
  </si>
  <si>
    <t>adatok főben</t>
  </si>
  <si>
    <t>Felh.c.tám. EGYÉB VÁLLALKOZÁSOK</t>
  </si>
  <si>
    <t>rendezvényszervező 1</t>
  </si>
  <si>
    <t>közterület felügyelő 1</t>
  </si>
  <si>
    <t>polgármester 1 tisztségviselő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</si>
  <si>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</si>
  <si>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</si>
  <si>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</si>
  <si>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</si>
  <si>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</si>
  <si>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</si>
  <si>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</si>
  <si>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</si>
  <si>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</si>
  <si>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</si>
  <si>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</si>
  <si>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</si>
  <si>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</si>
  <si>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</si>
  <si>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</si>
  <si>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</si>
  <si>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</si>
  <si>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</si>
  <si>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</si>
  <si>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</si>
  <si>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</si>
  <si>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 xml:space="preserve">   támogatásértékű működési kiadások államáztartáson belülre</t>
  </si>
  <si>
    <t xml:space="preserve">  A helyi önk. Előző évi elsz. Származó kiadások</t>
  </si>
  <si>
    <t xml:space="preserve">   egyéb elvonások befizetések</t>
  </si>
  <si>
    <t>Temüsz előirányzatai</t>
  </si>
  <si>
    <t>Temüsz módosított előirányzatai</t>
  </si>
  <si>
    <t xml:space="preserve">B16. Támogatásértékű működési bevételek </t>
  </si>
  <si>
    <t xml:space="preserve">B21. B25. Támogatásértékű felhalmozási bevételek </t>
  </si>
  <si>
    <t>"</t>
  </si>
  <si>
    <t>K5022. egyéb elvonások befizetések</t>
  </si>
  <si>
    <t>dajka 3</t>
  </si>
  <si>
    <t>kisgy.nevelő 2</t>
  </si>
  <si>
    <t>Strand gondnok,1</t>
  </si>
  <si>
    <t>dajka/takarító (bölcsőde) 0,75</t>
  </si>
  <si>
    <t>szakács szoc.étk., külsősök 1</t>
  </si>
  <si>
    <t>szakács bölcsőde 1</t>
  </si>
  <si>
    <t>szakács óvoda 1</t>
  </si>
  <si>
    <t>anyakönyvvez., szoc. üi. 1</t>
  </si>
  <si>
    <t>temüsz fizikai 9</t>
  </si>
  <si>
    <t>konyhai kisegítő óvoda 1</t>
  </si>
  <si>
    <t>élelmezésvezető 1</t>
  </si>
  <si>
    <t>K5. Egyéb működési célú kiadások</t>
  </si>
  <si>
    <t>K915.  irányító szerv alá tartozó költségvetési szervnek folyósított működési támogatás</t>
  </si>
  <si>
    <t>B812. Forgatási célú értékpapírok</t>
  </si>
  <si>
    <t>Forgatási célú értékpapírok</t>
  </si>
  <si>
    <t>Műk.c.tám. EGYHÁZAKNAK</t>
  </si>
  <si>
    <t>Felh.c.tám. EGYHÁZAKNAK</t>
  </si>
  <si>
    <t>ügyintéző 1</t>
  </si>
  <si>
    <t>ped.assz. 2</t>
  </si>
  <si>
    <t>ÖNKORMÁNYZAT és INTÉZMÉNYEK ÖSSZESEN</t>
  </si>
  <si>
    <t>HÉSZ</t>
  </si>
  <si>
    <t>Műk.c.tám. EGYHÁZAKNAK (Iskola támogatás)</t>
  </si>
  <si>
    <t>pénzügyi üi. 5</t>
  </si>
  <si>
    <t>adóügyi üi. 3</t>
  </si>
  <si>
    <t>informatikus 0,75</t>
  </si>
  <si>
    <t>Kemping gondnok 1</t>
  </si>
  <si>
    <t>Szálláshely gondnok 1</t>
  </si>
  <si>
    <t>Strand-Kemping idénylétszám 6+3=9</t>
  </si>
  <si>
    <t>1 óvónő int.vez, 1 óvónő int.vez.hely., 4 óvónő</t>
  </si>
  <si>
    <t>K914. Államháztartáson belüli megelőlegezések</t>
  </si>
  <si>
    <t>K912. Forgatási célú értékpapírok vásárása</t>
  </si>
  <si>
    <t>Forgatási célú értékpapírok vásárása</t>
  </si>
  <si>
    <t>Államháztartáson belüli megelőlegezések</t>
  </si>
  <si>
    <t>B341 Építményadó</t>
  </si>
  <si>
    <t>B344 Telekadó</t>
  </si>
  <si>
    <t>B351 Állandó jelleggel végzett ip.űzési adó</t>
  </si>
  <si>
    <t>B355 Idegenfor.adó tartózkodás után</t>
  </si>
  <si>
    <t>B36 Egyéb közhatalmi bevételek (Pótlékok, illetékek, bírságok, Talajterhelési díj)</t>
  </si>
  <si>
    <t>B21 Felh.célú önkormányzati támogatás (Vis Maior)</t>
  </si>
  <si>
    <t>B25 Felh.célú egyéb támogatás (Elektromos jármű beszerzése támogatás)</t>
  </si>
  <si>
    <t xml:space="preserve">Műk.c.tám. HÁZTARTÁSOK </t>
  </si>
  <si>
    <t>műszaki üi. 0,5</t>
  </si>
  <si>
    <t>Eredeti előirányzat</t>
  </si>
  <si>
    <t>Módosított előirányzat</t>
  </si>
  <si>
    <t>KÖLTSÉGVETÉS 2024</t>
  </si>
  <si>
    <t>MÉRLEG 2024</t>
  </si>
  <si>
    <t xml:space="preserve">  Egyéb közhatalmi bevételek</t>
  </si>
  <si>
    <t xml:space="preserve">   Egyéb közhatalmi bevételek</t>
  </si>
  <si>
    <t>HELYI ADÓ BEVÉTELEK 2024</t>
  </si>
  <si>
    <t>TÁMOGATÁSÉRTÉKŰ BEVÉTELEK államháztartáson belülről 2024</t>
  </si>
  <si>
    <t>B16 Egyéb műk.c. támogatás (TB alapoktól és kezelőitől iskola eü. támogatás)</t>
  </si>
  <si>
    <t>B16 Egyéb műk.c. támogatás (Elkülnített Állami Pénzalapoktól (Bethlen Gábor Alap, Közfoglalkoztatás, Nemzeti kulturális alap)</t>
  </si>
  <si>
    <t>B16 Egyéb műk.c. támogatás Önk-tól, Önk-i ktgv.szervtől (Lovas Közs. Önk. Tám., Óvoda: 1.200.000 Ft, Közös Hivatal tám: 13.483.619 Ft,)</t>
  </si>
  <si>
    <t>B16 Egyéb műk.c. támogatás Társulástól (KBTÖT munkaszervezeti feladatok ellátására)</t>
  </si>
  <si>
    <t>B16 Egyéb műk.c. támogatás Önk-tól (Balatonalmádi Szoc. Központ előző évi tám. Elszámolása)</t>
  </si>
  <si>
    <t>B111 Helyi önkormányzatok átalános támogatása</t>
  </si>
  <si>
    <t>B112 Települési önkormányzatok köznevelési feladatainak támogatása</t>
  </si>
  <si>
    <t>B1131 Települési önkormányzatok szociális feladatainak támogatása</t>
  </si>
  <si>
    <t>B1132 Települési önkormányzatok szociális és gyermekjóléti feladatinak támogatása</t>
  </si>
  <si>
    <t>B114 Települési önkormányzatok kulturális feladatainak támogatása</t>
  </si>
  <si>
    <t>KÖZPONTI KÖLTSÉGVETÉSBŐL SZÁRMAZÓ TÁMOGATÁSOK 2024</t>
  </si>
  <si>
    <t>Európai Uniós Projektek 2024</t>
  </si>
  <si>
    <t>Térinformatikai szoftver</t>
  </si>
  <si>
    <t>Fénymásoló</t>
  </si>
  <si>
    <t>BFT pályázat elektromos autó</t>
  </si>
  <si>
    <t>Útépítés Mihálkovics u. Észak</t>
  </si>
  <si>
    <t>Útépítés</t>
  </si>
  <si>
    <t>LED csere</t>
  </si>
  <si>
    <t>LEADER pályázat, edzőpark, árnyékolás</t>
  </si>
  <si>
    <t>Sétány terv</t>
  </si>
  <si>
    <t>Szabadtéri Színpad felújítása</t>
  </si>
  <si>
    <t>TOP PLUSZ 1.1.3-21-VE1-2022-00040 sz. pályázat</t>
  </si>
  <si>
    <t>Rönkfogó kanál, tengelyes rotátor, függeszték</t>
  </si>
  <si>
    <t>Kemping recepció 50%</t>
  </si>
  <si>
    <t>Bölcsődei udvarfejlesztés (faház játéktárolónak)</t>
  </si>
  <si>
    <t>Bölcsődei udvarfejlesztés (rugós játék)</t>
  </si>
  <si>
    <t>Óvodai udvarfejlesztés (Mozdony kocsikkal)</t>
  </si>
  <si>
    <t>Óvodai udvarfejlesztés (Babaház)</t>
  </si>
  <si>
    <t>Kombi pároló (konyha)</t>
  </si>
  <si>
    <t>BERUHÁZÁS-FELÚJÍTÁS 2024</t>
  </si>
  <si>
    <t>Strandsétány felújítás</t>
  </si>
  <si>
    <t>A fenti előirányzatokból 2024 költségvetési év azon fejlesztési céljai, amelyek megvalósításához a Stabilitási tv. 3. § (1) bekezdése szerinti adósságot keletkeztető ügylet megkötése válik vagy válhat szükségessé (forrás feltüntetése ezer forintban)</t>
  </si>
  <si>
    <t>TELEPÜLÉSI TÁMOGATÁSOK 2024</t>
  </si>
  <si>
    <t>ÁTADOTT PÉNZESZKÖZÖK ÁLLAMHÁZTARTÁSON KÍVÜLRE 2024</t>
  </si>
  <si>
    <t>LÉTSZÁM 2024</t>
  </si>
  <si>
    <t>tanyagondnok 1</t>
  </si>
  <si>
    <t>igazgatási üi. 1</t>
  </si>
  <si>
    <t>KÖZVETETT TÁMOGATÁSOK 2024</t>
  </si>
  <si>
    <t>ELŐIRÁNYZAT FELHASZNÁLÁSI TERV 2024</t>
  </si>
  <si>
    <t>1.sz. módosítás</t>
  </si>
  <si>
    <t xml:space="preserve"> 1. melléklet a … /2024. (IX.  ... ) Önkormányzati rendelethez</t>
  </si>
  <si>
    <t>K84. Támogatásértékű felhalmozási kiadások államháztartáson belülre</t>
  </si>
  <si>
    <t>2. melléklet a … /2024. (IX.  ... ) Önkormányzati rendelethez</t>
  </si>
  <si>
    <t>3. melléklet a … /2024. (IX.  ... ) Önkormányzati rendelethez</t>
  </si>
  <si>
    <t>B25 Felh.célú egyéb támogatás (TOP Plusz Turisztika, Varázserdő II.)</t>
  </si>
  <si>
    <t>4. melléklet a … /2024. (IX.  ... ) Önkormányzati rendelethez</t>
  </si>
  <si>
    <t>Megvalósítás 2024-2027</t>
  </si>
  <si>
    <t>TOP-PLUSZ 1.1.3-21-VE1-2022 -00040 Helyi és térségi turizmusfejlesztés (Varázserdő - Amfiteátrum továbbfejlesztése)</t>
  </si>
  <si>
    <t>5. melléklet a … /2024. (IX.  ... ) Önkormányzati rendelethez</t>
  </si>
  <si>
    <t>Vis Maior Templom u. 17. hrsz.</t>
  </si>
  <si>
    <t>6. melléklet a … /2024. (IX.  ... ) Önkormányzati rendelethez</t>
  </si>
  <si>
    <t>7. melléklet a  … /2024. (IX.  ... ) Önkormányzati rendelethez</t>
  </si>
  <si>
    <t>8. melléklet a … /2024. (IX.  ... ) Önkormányzati rendelethez</t>
  </si>
  <si>
    <t>9. melléklet a  … /2024. (IX.  ... ) Önkormányzati rendelethez</t>
  </si>
  <si>
    <t>10. melléklet a … /2024. (IX.  ... ) Önkormányzati rendelethez</t>
  </si>
  <si>
    <t>12. melléklet a   … /2024. (IX.  ... ) Önkormányzati rendelethez</t>
  </si>
  <si>
    <t>11. melléklet  a … /2024. (IX.  ... ) Önkormányzati rendelethez</t>
  </si>
  <si>
    <t>"10. melléklet  a 3/2024. (II. 23.) Önkormányzati rendelethez</t>
  </si>
  <si>
    <t>"11. melléklet  a 3/2024. (II. 23.) Önkormányzati rendelethez</t>
  </si>
  <si>
    <t>"1. melléklet  a 3/2024. (II. 23.) Önkormányzati rendelethez</t>
  </si>
  <si>
    <t>"2. melléklet  a 3/2024. (II. 23.) Önkormányzati rendelethez</t>
  </si>
  <si>
    <t>"3. melléklet  a 3/2024. (II. 23.) Önkormányzati rendelethez</t>
  </si>
  <si>
    <t>"4. melléklet  a 3/2024. (II. 23.) Önkormányzati rendelethez</t>
  </si>
  <si>
    <t>"5. melléklet  a 3/2024. (II. 23.) Önkormányzati rendelethez</t>
  </si>
  <si>
    <t>"6. melléklet  a 3/2024. (II. 23.) Önkormányzati rendelethez</t>
  </si>
  <si>
    <t>"7. melléklet  a 3/2024. (II. 23.) Önkormányzati rendelethez</t>
  </si>
  <si>
    <t>"8. melléklet  a 3/2024. (II. 23.) Önkormányzati rendelethez</t>
  </si>
  <si>
    <t>"9. melléklet  a 3/2024. (II. 23.) Önkormányzati rendelethez</t>
  </si>
  <si>
    <t>"12. melléklet  a 3/2024. (II. 23.) Önkormányzati rendelethez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</si>
</sst>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_-* #,##0\ _F_t_-;\-* #,##0\ _F_t_-;_-* \-??\ _F_t_-;_-@_-"/>
  </numFmts>
  <fonts count="46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i/>
      <sz val="22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3"/>
      <name val="Arial"/>
      <family val="2"/>
      <charset val="238"/>
    </font>
    <font>
      <b/>
      <sz val="2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05">
    <xf numFmtId="0" fontId="0" fillId="0" borderId="0" xfId="0"/>
    <xf numFmtId="0" fontId="2" fillId="0" borderId="0" xfId="0" applyFont="1"/>
    <xf numFmtId="164" fontId="3" fillId="0" borderId="0" xfId="4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4" fontId="10" fillId="0" borderId="1" xfId="4" applyNumberFormat="1" applyFont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164" fontId="11" fillId="0" borderId="1" xfId="4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justify" wrapText="1"/>
    </xf>
    <xf numFmtId="0" fontId="9" fillId="7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64" fontId="11" fillId="2" borderId="1" xfId="4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 wrapText="1"/>
    </xf>
    <xf numFmtId="165" fontId="9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165" fontId="9" fillId="8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 wrapText="1"/>
    </xf>
    <xf numFmtId="165" fontId="9" fillId="9" borderId="1" xfId="1" applyNumberFormat="1" applyFont="1" applyFill="1" applyBorder="1" applyAlignment="1">
      <alignment horizontal="center" vertical="center"/>
    </xf>
    <xf numFmtId="165" fontId="9" fillId="1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left" vertical="center" wrapText="1"/>
    </xf>
    <xf numFmtId="3" fontId="19" fillId="0" borderId="1" xfId="4" applyNumberFormat="1" applyFont="1" applyBorder="1" applyAlignment="1">
      <alignment horizontal="right" vertical="center" wrapText="1"/>
    </xf>
    <xf numFmtId="164" fontId="20" fillId="0" borderId="1" xfId="4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3" fontId="3" fillId="0" borderId="1" xfId="4" applyNumberFormat="1" applyFont="1" applyBorder="1" applyAlignment="1">
      <alignment horizontal="right" vertical="center"/>
    </xf>
    <xf numFmtId="3" fontId="3" fillId="0" borderId="1" xfId="4" applyNumberFormat="1" applyFont="1" applyBorder="1" applyAlignment="1">
      <alignment horizontal="right" vertical="center" wrapText="1"/>
    </xf>
    <xf numFmtId="164" fontId="3" fillId="0" borderId="0" xfId="4" applyNumberFormat="1" applyFont="1" applyAlignment="1">
      <alignment horizontal="left" vertical="center"/>
    </xf>
    <xf numFmtId="3" fontId="21" fillId="0" borderId="1" xfId="4" applyNumberFormat="1" applyFont="1" applyBorder="1" applyAlignment="1">
      <alignment horizontal="right" vertical="center" wrapText="1"/>
    </xf>
    <xf numFmtId="164" fontId="21" fillId="0" borderId="0" xfId="4" applyNumberFormat="1" applyFont="1" applyAlignment="1">
      <alignment horizontal="left" vertical="center" wrapText="1"/>
    </xf>
    <xf numFmtId="164" fontId="22" fillId="0" borderId="0" xfId="4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23" fillId="0" borderId="0" xfId="4" applyNumberFormat="1" applyFont="1" applyAlignment="1">
      <alignment horizontal="left" vertical="center" wrapText="1"/>
    </xf>
    <xf numFmtId="3" fontId="13" fillId="0" borderId="0" xfId="0" applyNumberFormat="1" applyFont="1"/>
    <xf numFmtId="0" fontId="2" fillId="0" borderId="2" xfId="0" applyFont="1" applyBorder="1" applyAlignment="1" applyProtection="1">
      <alignment wrapText="1"/>
      <protection locked="0"/>
    </xf>
    <xf numFmtId="165" fontId="2" fillId="0" borderId="0" xfId="1" applyNumberFormat="1" applyFont="1"/>
    <xf numFmtId="165" fontId="8" fillId="0" borderId="1" xfId="1" applyNumberFormat="1" applyFont="1" applyBorder="1" applyAlignment="1">
      <alignment horizontal="center" vertical="center" wrapText="1"/>
    </xf>
    <xf numFmtId="3" fontId="21" fillId="0" borderId="0" xfId="4" applyNumberFormat="1" applyFont="1" applyAlignment="1">
      <alignment horizontal="right" vertical="center" wrapText="1"/>
    </xf>
    <xf numFmtId="165" fontId="2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6" fillId="0" borderId="1" xfId="0" applyFont="1" applyBorder="1"/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2" fillId="0" borderId="0" xfId="0" applyFont="1"/>
    <xf numFmtId="165" fontId="28" fillId="0" borderId="1" xfId="1" applyNumberFormat="1" applyFont="1" applyBorder="1" applyAlignment="1">
      <alignment horizontal="right" vertical="center"/>
    </xf>
    <xf numFmtId="165" fontId="13" fillId="0" borderId="1" xfId="1" applyNumberFormat="1" applyFont="1" applyBorder="1" applyAlignment="1">
      <alignment horizontal="right" vertical="center"/>
    </xf>
    <xf numFmtId="164" fontId="21" fillId="0" borderId="0" xfId="4" applyNumberFormat="1" applyFont="1" applyAlignment="1">
      <alignment vertical="center" wrapText="1"/>
    </xf>
    <xf numFmtId="164" fontId="20" fillId="0" borderId="0" xfId="4" applyNumberFormat="1" applyFont="1" applyAlignment="1">
      <alignment horizontal="left" vertical="center" wrapText="1"/>
    </xf>
    <xf numFmtId="0" fontId="22" fillId="0" borderId="0" xfId="3" applyFont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30" fillId="0" borderId="0" xfId="0" applyFont="1"/>
    <xf numFmtId="0" fontId="16" fillId="0" borderId="0" xfId="0" applyFont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17" fillId="0" borderId="1" xfId="0" applyFont="1" applyBorder="1" applyAlignment="1">
      <alignment wrapText="1"/>
    </xf>
    <xf numFmtId="2" fontId="32" fillId="0" borderId="1" xfId="4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2" fontId="32" fillId="0" borderId="0" xfId="4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3" fillId="3" borderId="4" xfId="0" applyFont="1" applyFill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3" fontId="19" fillId="0" borderId="0" xfId="4" applyNumberFormat="1" applyFont="1" applyAlignment="1">
      <alignment horizontal="right" vertical="center" wrapText="1"/>
    </xf>
    <xf numFmtId="3" fontId="8" fillId="0" borderId="7" xfId="0" applyNumberFormat="1" applyFont="1" applyBorder="1" applyAlignment="1">
      <alignment horizontal="center" vertical="center"/>
    </xf>
    <xf numFmtId="0" fontId="35" fillId="0" borderId="8" xfId="0" applyFont="1" applyBorder="1"/>
    <xf numFmtId="3" fontId="35" fillId="0" borderId="9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8" fillId="0" borderId="6" xfId="0" applyFont="1" applyBorder="1"/>
    <xf numFmtId="0" fontId="33" fillId="3" borderId="11" xfId="0" applyFont="1" applyFill="1" applyBorder="1" applyAlignment="1">
      <alignment wrapText="1"/>
    </xf>
    <xf numFmtId="0" fontId="36" fillId="0" borderId="12" xfId="0" applyFont="1" applyBorder="1" applyAlignment="1">
      <alignment wrapText="1"/>
    </xf>
    <xf numFmtId="0" fontId="27" fillId="0" borderId="0" xfId="0" applyFont="1"/>
    <xf numFmtId="0" fontId="6" fillId="0" borderId="0" xfId="2" applyAlignment="1" applyProtection="1"/>
    <xf numFmtId="165" fontId="2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165" fontId="17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right" vertical="center"/>
    </xf>
    <xf numFmtId="165" fontId="9" fillId="0" borderId="1" xfId="1" applyNumberFormat="1" applyFont="1" applyBorder="1" applyAlignment="1">
      <alignment horizontal="justify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165" fontId="9" fillId="4" borderId="1" xfId="1" applyNumberFormat="1" applyFont="1" applyFill="1" applyBorder="1" applyAlignment="1">
      <alignment horizontal="justify" vertical="center" wrapText="1"/>
    </xf>
    <xf numFmtId="165" fontId="8" fillId="4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justify" vertical="center" wrapText="1"/>
    </xf>
    <xf numFmtId="165" fontId="17" fillId="2" borderId="1" xfId="1" applyNumberFormat="1" applyFont="1" applyFill="1" applyBorder="1" applyAlignment="1">
      <alignment vertical="center" wrapText="1"/>
    </xf>
    <xf numFmtId="165" fontId="17" fillId="2" borderId="1" xfId="1" applyNumberFormat="1" applyFont="1" applyFill="1" applyBorder="1" applyAlignment="1">
      <alignment horizontal="justify" vertical="center" wrapText="1"/>
    </xf>
    <xf numFmtId="165" fontId="8" fillId="0" borderId="1" xfId="1" applyNumberFormat="1" applyFont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5" fontId="17" fillId="5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left" vertical="center" wrapText="1"/>
    </xf>
    <xf numFmtId="165" fontId="17" fillId="6" borderId="1" xfId="1" applyNumberFormat="1" applyFont="1" applyFill="1" applyBorder="1" applyAlignment="1">
      <alignment vertical="center" wrapText="1"/>
    </xf>
    <xf numFmtId="165" fontId="37" fillId="6" borderId="1" xfId="1" applyNumberFormat="1" applyFont="1" applyFill="1" applyBorder="1" applyAlignment="1">
      <alignment horizontal="left" vertical="center" wrapText="1"/>
    </xf>
    <xf numFmtId="0" fontId="25" fillId="0" borderId="1" xfId="0" applyFont="1" applyBorder="1"/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5" fontId="29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165" fontId="7" fillId="0" borderId="1" xfId="1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42" fillId="0" borderId="2" xfId="0" applyFont="1" applyBorder="1"/>
    <xf numFmtId="166" fontId="43" fillId="0" borderId="3" xfId="1" applyNumberFormat="1" applyFont="1" applyFill="1" applyBorder="1" applyAlignment="1" applyProtection="1"/>
    <xf numFmtId="0" fontId="42" fillId="0" borderId="2" xfId="0" applyFont="1" applyBorder="1" applyAlignment="1">
      <alignment wrapText="1"/>
    </xf>
    <xf numFmtId="165" fontId="28" fillId="0" borderId="1" xfId="1" applyNumberFormat="1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165" fontId="25" fillId="0" borderId="12" xfId="1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right" vertical="center"/>
    </xf>
    <xf numFmtId="166" fontId="43" fillId="0" borderId="16" xfId="1" applyNumberFormat="1" applyFont="1" applyFill="1" applyBorder="1" applyAlignment="1" applyProtection="1"/>
    <xf numFmtId="0" fontId="42" fillId="9" borderId="0" xfId="0" applyFont="1" applyFill="1" applyAlignment="1">
      <alignment wrapText="1"/>
    </xf>
    <xf numFmtId="166" fontId="43" fillId="9" borderId="1" xfId="1" applyNumberFormat="1" applyFont="1" applyFill="1" applyBorder="1" applyAlignment="1" applyProtection="1"/>
    <xf numFmtId="165" fontId="13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165" fontId="15" fillId="0" borderId="0" xfId="1" applyNumberFormat="1" applyFont="1" applyAlignment="1">
      <alignment vertical="center"/>
    </xf>
    <xf numFmtId="0" fontId="15" fillId="0" borderId="0" xfId="0" applyFont="1"/>
    <xf numFmtId="165" fontId="2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45" fillId="0" borderId="0" xfId="0" applyFont="1"/>
    <xf numFmtId="165" fontId="45" fillId="0" borderId="0" xfId="1" applyNumberFormat="1" applyFont="1" applyAlignment="1">
      <alignment horizontal="center" vertical="center"/>
    </xf>
    <xf numFmtId="0" fontId="45" fillId="0" borderId="0" xfId="0" applyFont="1" applyAlignment="1">
      <alignment wrapText="1"/>
    </xf>
    <xf numFmtId="165" fontId="9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wrapText="1"/>
    </xf>
    <xf numFmtId="165" fontId="37" fillId="6" borderId="0" xfId="1" applyNumberFormat="1" applyFont="1" applyFill="1" applyBorder="1" applyAlignment="1">
      <alignment horizontal="left" vertical="center" wrapText="1"/>
    </xf>
    <xf numFmtId="165" fontId="8" fillId="0" borderId="0" xfId="1" applyNumberFormat="1" applyFont="1" applyBorder="1" applyAlignment="1">
      <alignment horizontal="right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/>
    </xf>
    <xf numFmtId="0" fontId="42" fillId="0" borderId="17" xfId="0" applyFont="1" applyBorder="1"/>
    <xf numFmtId="166" fontId="43" fillId="0" borderId="1" xfId="1" applyNumberFormat="1" applyFont="1" applyFill="1" applyBorder="1" applyAlignment="1" applyProtection="1"/>
    <xf numFmtId="166" fontId="43" fillId="0" borderId="18" xfId="1" applyNumberFormat="1" applyFont="1" applyFill="1" applyBorder="1" applyAlignment="1" applyProtection="1"/>
    <xf numFmtId="165" fontId="28" fillId="0" borderId="7" xfId="1" applyNumberFormat="1" applyFont="1" applyBorder="1" applyAlignment="1">
      <alignment horizontal="right" vertical="center"/>
    </xf>
    <xf numFmtId="165" fontId="28" fillId="0" borderId="12" xfId="1" applyNumberFormat="1" applyFont="1" applyBorder="1" applyAlignment="1">
      <alignment horizontal="right" vertical="center"/>
    </xf>
    <xf numFmtId="165" fontId="28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</cellXfs>
  <cellStyles count="5">
    <cellStyle name="Ezres" xfId="1" builtinId="3"/>
    <cellStyle name="Hivatkozás" xfId="2" builtinId="8"/>
    <cellStyle name="Normál" xfId="0" builtinId="0"/>
    <cellStyle name="Normál_70ûrlap" xfId="3"/>
    <cellStyle name="Normál_97ûrla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="75" zoomScaleSheetLayoutView="75" workbookViewId="0">
      <selection activeCell="E3" sqref="E3"/>
    </sheetView>
  </sheetViews>
  <sheetFormatPr defaultColWidth="9.125" defaultRowHeight="14"/>
  <cols>
    <col min="1" max="1" width="9.125" style="120" customWidth="1"/>
    <col min="2" max="2" width="48" style="120" customWidth="1"/>
    <col min="3" max="3" width="21.375" style="122" customWidth="1"/>
    <col min="4" max="4" width="21.75" style="122" customWidth="1"/>
    <col min="5" max="5" width="49.625" style="120" customWidth="1"/>
    <col min="6" max="6" width="20.125" style="122" customWidth="1"/>
    <col min="7" max="7" width="20.875" style="122" customWidth="1"/>
    <col min="8" max="8" width="20.75" style="120" customWidth="1"/>
    <col min="9" max="9" width="18" style="120" customWidth="1"/>
    <col min="10" max="16384" width="9.125" style="120"/>
  </cols>
  <sheetData>
    <row r="1" spans="1:7" ht="14.35" customHeight="1">
      <c r="B1" s="198"/>
      <c r="C1" s="198"/>
      <c r="D1" s="198"/>
      <c r="E1" s="198"/>
      <c r="F1" s="198"/>
      <c r="G1" s="198"/>
    </row>
    <row r="2" spans="1:7" ht="14.35" customHeight="1">
      <c r="B2" s="171"/>
      <c r="C2" s="171"/>
      <c r="D2" s="171"/>
      <c r="E2" s="198" t="s">
        <v>308</v>
      </c>
      <c r="F2" s="198"/>
      <c r="G2" s="198"/>
    </row>
    <row r="3" spans="1:7" ht="23.25" customHeight="1">
      <c r="B3" s="178"/>
      <c r="C3" s="171"/>
      <c r="D3" s="171"/>
      <c r="E3" s="177" t="s">
        <v>310</v>
      </c>
      <c r="F3" s="177"/>
      <c r="G3" s="177"/>
    </row>
    <row r="4" spans="1:7" ht="27.3">
      <c r="B4" s="180" t="s">
        <v>247</v>
      </c>
      <c r="D4" s="175"/>
      <c r="E4" s="121"/>
    </row>
    <row r="5" spans="1:7" ht="20.3">
      <c r="B5" s="175" t="s">
        <v>221</v>
      </c>
      <c r="F5" s="122" t="s">
        <v>72</v>
      </c>
    </row>
    <row r="6" spans="1:7" ht="60.15" customHeight="1">
      <c r="B6" s="123" t="s">
        <v>0</v>
      </c>
      <c r="C6" s="124" t="s">
        <v>90</v>
      </c>
      <c r="D6" s="124" t="s">
        <v>91</v>
      </c>
      <c r="E6" s="124" t="s">
        <v>0</v>
      </c>
      <c r="F6" s="124" t="s">
        <v>90</v>
      </c>
      <c r="G6" s="124" t="s">
        <v>91</v>
      </c>
    </row>
    <row r="7" spans="1:7">
      <c r="B7" s="123" t="s">
        <v>5</v>
      </c>
      <c r="C7" s="124" t="s">
        <v>6</v>
      </c>
      <c r="D7" s="124" t="s">
        <v>7</v>
      </c>
      <c r="E7" s="123" t="s">
        <v>92</v>
      </c>
      <c r="F7" s="124" t="s">
        <v>9</v>
      </c>
      <c r="G7" s="124" t="s">
        <v>10</v>
      </c>
    </row>
    <row r="8" spans="1:7" ht="107.3" customHeight="1">
      <c r="A8" s="120">
        <v>1</v>
      </c>
      <c r="B8" s="125" t="s">
        <v>157</v>
      </c>
      <c r="C8" s="126">
        <f>'1 bevétel-kiadás'!K9</f>
        <v>428096549</v>
      </c>
      <c r="D8" s="126">
        <f>'1 bevétel-kiadás'!L9</f>
        <v>536351734</v>
      </c>
      <c r="E8" s="127" t="s">
        <v>37</v>
      </c>
      <c r="F8" s="126">
        <f>'1 bevétel-kiadás'!K38</f>
        <v>430735717</v>
      </c>
      <c r="G8" s="126">
        <f>'1 bevétel-kiadás'!L38</f>
        <v>446545077</v>
      </c>
    </row>
    <row r="9" spans="1:7" ht="44.05">
      <c r="A9" s="120">
        <v>2</v>
      </c>
      <c r="B9" s="125" t="s">
        <v>158</v>
      </c>
      <c r="C9" s="126">
        <f>C10+C11</f>
        <v>329000000</v>
      </c>
      <c r="D9" s="126">
        <f>D10+D11</f>
        <v>329000000</v>
      </c>
      <c r="E9" s="127" t="s">
        <v>38</v>
      </c>
      <c r="F9" s="126">
        <f>'1 bevétel-kiadás'!K39</f>
        <v>61040635</v>
      </c>
      <c r="G9" s="126">
        <f>'1 bevétel-kiadás'!L39</f>
        <v>62474261</v>
      </c>
    </row>
    <row r="10" spans="1:7" ht="14.7">
      <c r="A10" s="120">
        <v>3</v>
      </c>
      <c r="B10" s="128" t="s">
        <v>18</v>
      </c>
      <c r="C10" s="126">
        <f>'1 bevétel-kiadás'!C11</f>
        <v>325000000</v>
      </c>
      <c r="D10" s="126">
        <f>'1 bevétel-kiadás'!D11</f>
        <v>325000000</v>
      </c>
      <c r="E10" s="127" t="s">
        <v>39</v>
      </c>
      <c r="F10" s="126">
        <f>'1 bevétel-kiadás'!K40</f>
        <v>457270209</v>
      </c>
      <c r="G10" s="126">
        <f>'1 bevétel-kiadás'!L40</f>
        <v>536289583</v>
      </c>
    </row>
    <row r="11" spans="1:7" ht="29.4">
      <c r="A11" s="120">
        <v>4</v>
      </c>
      <c r="B11" s="128" t="s">
        <v>249</v>
      </c>
      <c r="C11" s="126">
        <f>'1 bevétel-kiadás'!C12</f>
        <v>4000000</v>
      </c>
      <c r="D11" s="126">
        <f>'1 bevétel-kiadás'!D12</f>
        <v>4000000</v>
      </c>
      <c r="E11" s="129" t="s">
        <v>93</v>
      </c>
      <c r="F11" s="130">
        <f>'1 bevétel-kiadás'!K41</f>
        <v>342294769</v>
      </c>
      <c r="G11" s="130">
        <f>'1 bevétel-kiadás'!L41</f>
        <v>321854960</v>
      </c>
    </row>
    <row r="12" spans="1:7" ht="14.7">
      <c r="A12" s="120">
        <v>5</v>
      </c>
      <c r="B12" s="125" t="s">
        <v>20</v>
      </c>
      <c r="C12" s="126">
        <f>'1 bevétel-kiadás'!K14</f>
        <v>247748619</v>
      </c>
      <c r="D12" s="126">
        <f>'1 bevétel-kiadás'!L14</f>
        <v>250808653</v>
      </c>
      <c r="E12" s="127" t="s">
        <v>40</v>
      </c>
      <c r="F12" s="126">
        <f>SUM(F13:F17)</f>
        <v>70900000</v>
      </c>
      <c r="G12" s="126">
        <f>SUM(G13:G17)</f>
        <v>74607069</v>
      </c>
    </row>
    <row r="13" spans="1:7" ht="29.4">
      <c r="A13" s="120">
        <v>6</v>
      </c>
      <c r="B13" s="125" t="s">
        <v>21</v>
      </c>
      <c r="C13" s="126">
        <f>'1 bevétel-kiadás'!K15</f>
        <v>16085619</v>
      </c>
      <c r="D13" s="126">
        <f>'1 bevétel-kiadás'!L15</f>
        <v>19067752</v>
      </c>
      <c r="E13" s="13" t="s">
        <v>193</v>
      </c>
      <c r="F13" s="126">
        <f>'1 bevétel-kiadás'!K43</f>
        <v>9400000</v>
      </c>
      <c r="G13" s="126">
        <f>'1 bevétel-kiadás'!L43</f>
        <v>9400000</v>
      </c>
    </row>
    <row r="14" spans="1:7" ht="28">
      <c r="A14" s="120">
        <v>7</v>
      </c>
      <c r="B14" s="125" t="s">
        <v>22</v>
      </c>
      <c r="C14" s="126">
        <f>'1 bevétel-kiadás'!K16</f>
        <v>0</v>
      </c>
      <c r="D14" s="126">
        <f>'1 bevétel-kiadás'!L16</f>
        <v>825943</v>
      </c>
      <c r="E14" s="13" t="s">
        <v>41</v>
      </c>
      <c r="F14" s="126">
        <f>'1 bevétel-kiadás'!K44</f>
        <v>0</v>
      </c>
      <c r="G14" s="126">
        <f>'1 bevétel-kiadás'!L44</f>
        <v>0</v>
      </c>
    </row>
    <row r="15" spans="1:7" ht="29.4">
      <c r="A15" s="120">
        <v>8</v>
      </c>
      <c r="B15" s="125" t="s">
        <v>131</v>
      </c>
      <c r="C15" s="126">
        <f>'1 bevétel-kiadás'!K17</f>
        <v>0</v>
      </c>
      <c r="D15" s="126">
        <f>'1 bevétel-kiadás'!L17</f>
        <v>0</v>
      </c>
      <c r="E15" s="13" t="s">
        <v>194</v>
      </c>
      <c r="F15" s="126">
        <f>'1 bevétel-kiadás'!K45</f>
        <v>0</v>
      </c>
      <c r="G15" s="126">
        <f>'1 bevétel-kiadás'!L45</f>
        <v>768469</v>
      </c>
    </row>
    <row r="16" spans="1:7">
      <c r="A16" s="120">
        <v>9</v>
      </c>
      <c r="B16" s="133" t="s">
        <v>24</v>
      </c>
      <c r="C16" s="126">
        <f>C8+C9+C12+C13</f>
        <v>1020930787</v>
      </c>
      <c r="D16" s="126">
        <f>D8+D9+D12+D13+D14</f>
        <v>1136054082</v>
      </c>
      <c r="E16" s="13" t="s">
        <v>195</v>
      </c>
      <c r="F16" s="126">
        <f>'1 bevétel-kiadás'!K46</f>
        <v>0</v>
      </c>
      <c r="G16" s="126">
        <f>'1 bevétel-kiadás'!L46</f>
        <v>2938600</v>
      </c>
    </row>
    <row r="17" spans="1:7" ht="29.4">
      <c r="A17" s="120">
        <v>10</v>
      </c>
      <c r="B17" s="125" t="s">
        <v>25</v>
      </c>
      <c r="C17" s="126">
        <f>'1 bevétel-kiadás'!K19</f>
        <v>431212140</v>
      </c>
      <c r="D17" s="126">
        <f>'1 bevétel-kiadás'!L19</f>
        <v>90430540</v>
      </c>
      <c r="E17" s="13" t="s">
        <v>42</v>
      </c>
      <c r="F17" s="126">
        <f>'1 bevétel-kiadás'!K47</f>
        <v>61500000</v>
      </c>
      <c r="G17" s="126">
        <f>'1 bevétel-kiadás'!L47</f>
        <v>61500000</v>
      </c>
    </row>
    <row r="18" spans="1:7" ht="29.4">
      <c r="A18" s="120">
        <v>11</v>
      </c>
      <c r="B18" s="125" t="s">
        <v>26</v>
      </c>
      <c r="C18" s="126">
        <f>'1 bevétel-kiadás'!K20</f>
        <v>290000</v>
      </c>
      <c r="D18" s="126">
        <f>'1 bevétel-kiadás'!L20</f>
        <v>2030401</v>
      </c>
      <c r="E18" s="132" t="s">
        <v>117</v>
      </c>
      <c r="F18" s="182">
        <f>'1 bevétel-kiadás'!K48</f>
        <v>2200000</v>
      </c>
      <c r="G18" s="182">
        <f>'1 bevétel-kiadás'!L48</f>
        <v>2200000</v>
      </c>
    </row>
    <row r="19" spans="1:7" ht="44.05">
      <c r="A19" s="120">
        <v>12</v>
      </c>
      <c r="B19" s="125" t="s">
        <v>27</v>
      </c>
      <c r="C19" s="126">
        <f>'1 bevétel-kiadás'!K21</f>
        <v>0</v>
      </c>
      <c r="D19" s="126">
        <f>'1 bevétel-kiadás'!L21</f>
        <v>0</v>
      </c>
      <c r="E19" s="127" t="s">
        <v>43</v>
      </c>
      <c r="F19" s="166">
        <f>SUM(F20:F21)</f>
        <v>42942596</v>
      </c>
      <c r="G19" s="166">
        <f>SUM(G20:G21)</f>
        <v>46149754</v>
      </c>
    </row>
    <row r="20" spans="1:7" ht="29.4">
      <c r="A20" s="120">
        <v>13</v>
      </c>
      <c r="B20" s="125" t="s">
        <v>28</v>
      </c>
      <c r="C20" s="126">
        <f>'1 bevétel-kiadás'!K22</f>
        <v>0</v>
      </c>
      <c r="D20" s="126">
        <f>'1 bevétel-kiadás'!L22</f>
        <v>0</v>
      </c>
      <c r="E20" s="131" t="s">
        <v>44</v>
      </c>
      <c r="F20" s="126">
        <f>'1 bevétel-kiadás'!K50</f>
        <v>42942596</v>
      </c>
      <c r="G20" s="126">
        <f>'1 bevétel-kiadás'!L50</f>
        <v>46149754</v>
      </c>
    </row>
    <row r="21" spans="1:7">
      <c r="A21" s="120">
        <v>14</v>
      </c>
      <c r="B21" s="133" t="s">
        <v>30</v>
      </c>
      <c r="C21" s="126">
        <f>SUM(C17:C20)</f>
        <v>431502140</v>
      </c>
      <c r="D21" s="126">
        <f>SUM(D17:D20)</f>
        <v>92460941</v>
      </c>
      <c r="E21" s="131" t="s">
        <v>45</v>
      </c>
      <c r="F21" s="126">
        <f>'1 bevétel-kiadás'!K51</f>
        <v>0</v>
      </c>
      <c r="G21" s="126">
        <f>'1 bevétel-kiadás'!L51</f>
        <v>0</v>
      </c>
    </row>
    <row r="22" spans="1:7">
      <c r="A22" s="120">
        <v>15</v>
      </c>
      <c r="B22" s="137" t="s">
        <v>96</v>
      </c>
      <c r="C22" s="126">
        <f>C21+C16</f>
        <v>1452432927</v>
      </c>
      <c r="D22" s="126">
        <f>D21+D16</f>
        <v>1228515023</v>
      </c>
      <c r="E22" s="134" t="s">
        <v>94</v>
      </c>
      <c r="F22" s="126">
        <f>F19+F12+F10+F9+F8+F18</f>
        <v>1065089157</v>
      </c>
      <c r="G22" s="126">
        <f>G19+G12+G10+G9+G8+G18</f>
        <v>1168265744</v>
      </c>
    </row>
    <row r="23" spans="1:7" ht="14.7">
      <c r="A23" s="120">
        <v>16</v>
      </c>
      <c r="B23" s="138" t="s">
        <v>216</v>
      </c>
      <c r="C23" s="126">
        <f>'1 bevétel-kiadás'!K26</f>
        <v>184168000</v>
      </c>
      <c r="D23" s="126">
        <f>'1 bevétel-kiadás'!L26</f>
        <v>265788000</v>
      </c>
      <c r="E23" s="132" t="s">
        <v>47</v>
      </c>
      <c r="F23" s="126">
        <f>'1 bevétel-kiadás'!K53</f>
        <v>633758902</v>
      </c>
      <c r="G23" s="126">
        <f>'1 bevétel-kiadás'!L53</f>
        <v>183000822</v>
      </c>
    </row>
    <row r="24" spans="1:7" ht="44.05">
      <c r="A24" s="120">
        <v>17</v>
      </c>
      <c r="B24" s="138" t="s">
        <v>32</v>
      </c>
      <c r="C24" s="126">
        <f>'1 bevétel-kiadás'!K27</f>
        <v>109094710</v>
      </c>
      <c r="D24" s="126">
        <f>'1 bevétel-kiadás'!L27</f>
        <v>115571121</v>
      </c>
      <c r="E24" s="132" t="s">
        <v>48</v>
      </c>
      <c r="F24" s="126">
        <f>'1 bevétel-kiadás'!K54</f>
        <v>38100000</v>
      </c>
      <c r="G24" s="126">
        <f>'1 bevétel-kiadás'!L54</f>
        <v>56240000</v>
      </c>
    </row>
    <row r="25" spans="1:7" ht="28">
      <c r="A25" s="120">
        <v>18</v>
      </c>
      <c r="B25" s="138" t="s">
        <v>33</v>
      </c>
      <c r="C25" s="126">
        <f>'1 bevétel-kiadás'!K28</f>
        <v>0</v>
      </c>
      <c r="D25" s="126">
        <f>'1 bevétel-kiadás'!L28</f>
        <v>0</v>
      </c>
      <c r="E25" s="135" t="s">
        <v>50</v>
      </c>
      <c r="F25" s="126">
        <f>'1 bevétel-kiadás'!K55</f>
        <v>0</v>
      </c>
      <c r="G25" s="126">
        <f>'1 bevétel-kiadás'!L55</f>
        <v>2000000</v>
      </c>
    </row>
    <row r="26" spans="1:7" ht="28">
      <c r="A26" s="120">
        <v>19</v>
      </c>
      <c r="B26" s="140" t="s">
        <v>98</v>
      </c>
      <c r="C26" s="126">
        <f>C22+C25+C24+C23</f>
        <v>1745695637</v>
      </c>
      <c r="D26" s="126">
        <f>D22+D25+D24+D23</f>
        <v>1609874144</v>
      </c>
      <c r="E26" s="136" t="s">
        <v>51</v>
      </c>
      <c r="F26" s="126">
        <f>'1 bevétel-kiadás'!K56</f>
        <v>0</v>
      </c>
      <c r="G26" s="126">
        <f>'1 bevétel-kiadás'!L56</f>
        <v>0</v>
      </c>
    </row>
    <row r="27" spans="1:7">
      <c r="A27" s="120">
        <v>20</v>
      </c>
      <c r="B27" s="184"/>
      <c r="C27" s="185"/>
      <c r="D27" s="185"/>
      <c r="E27" s="134" t="s">
        <v>95</v>
      </c>
      <c r="F27" s="126">
        <f>F24+F23</f>
        <v>671858902</v>
      </c>
      <c r="G27" s="126">
        <f>G24+G23+G26+G25</f>
        <v>241240822</v>
      </c>
    </row>
    <row r="28" spans="1:7">
      <c r="A28" s="120">
        <v>21</v>
      </c>
      <c r="E28" s="137" t="s">
        <v>97</v>
      </c>
      <c r="F28" s="126">
        <f>F22+F27</f>
        <v>1736948059</v>
      </c>
      <c r="G28" s="126">
        <f>G22+G27</f>
        <v>1409506566</v>
      </c>
    </row>
    <row r="29" spans="1:7" ht="14.7">
      <c r="A29" s="120">
        <v>22</v>
      </c>
      <c r="E29" s="8" t="s">
        <v>233</v>
      </c>
      <c r="F29" s="126">
        <f>'1 bevétel-kiadás'!K61</f>
        <v>0</v>
      </c>
      <c r="G29" s="126">
        <f>'1 bevétel-kiadás'!L61</f>
        <v>191620000</v>
      </c>
    </row>
    <row r="30" spans="1:7" ht="14.7">
      <c r="A30" s="120">
        <v>23</v>
      </c>
      <c r="E30" s="8" t="s">
        <v>234</v>
      </c>
      <c r="F30" s="126">
        <f>'1 bevétel-kiadás'!K62</f>
        <v>8747578</v>
      </c>
      <c r="G30" s="126">
        <f>'1 bevétel-kiadás'!L62</f>
        <v>8747578</v>
      </c>
    </row>
    <row r="31" spans="1:7" ht="27.1" customHeight="1">
      <c r="A31" s="120">
        <v>24</v>
      </c>
      <c r="E31" s="139" t="s">
        <v>99</v>
      </c>
      <c r="F31" s="126">
        <f>F30+F28</f>
        <v>1745695637</v>
      </c>
      <c r="G31" s="126">
        <f>G30+G28+G29</f>
        <v>1609874144</v>
      </c>
    </row>
    <row r="32" spans="1:7" ht="23.25" customHeight="1">
      <c r="G32" s="122" t="s">
        <v>200</v>
      </c>
    </row>
    <row r="33" ht="54" customHeight="1"/>
    <row r="41" ht="68.349999999999994" customHeight="1"/>
    <row r="47" ht="97.55" customHeight="1"/>
  </sheetData>
  <mergeCells count="2">
    <mergeCell ref="B1:G1"/>
    <mergeCell ref="E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P29"/>
  <sheetViews>
    <sheetView view="pageBreakPreview" topLeftCell="B1" zoomScale="70" zoomScaleNormal="75" zoomScaleSheetLayoutView="70" workbookViewId="0">
      <selection activeCell="N5" sqref="N5"/>
    </sheetView>
  </sheetViews>
  <sheetFormatPr defaultColWidth="9.125" defaultRowHeight="12.6"/>
  <cols>
    <col min="1" max="1" width="7.25" style="1" customWidth="1"/>
    <col min="2" max="2" width="50" style="18" customWidth="1"/>
    <col min="3" max="4" width="19.375" style="3" customWidth="1"/>
    <col min="5" max="6" width="19.25" style="3" customWidth="1"/>
    <col min="7" max="8" width="17.625" style="3" customWidth="1"/>
    <col min="9" max="9" width="17.25" style="3" customWidth="1"/>
    <col min="10" max="10" width="17.625" style="3" customWidth="1"/>
    <col min="11" max="11" width="19.625" style="3" customWidth="1"/>
    <col min="12" max="12" width="18.75" style="3" customWidth="1"/>
    <col min="13" max="13" width="19.375" style="3" customWidth="1"/>
    <col min="14" max="14" width="19.75" style="3" customWidth="1"/>
    <col min="15" max="15" width="19.25" style="3" customWidth="1"/>
    <col min="16" max="16" width="19.625" style="3" customWidth="1"/>
    <col min="17" max="16384" width="9.125" style="1"/>
  </cols>
  <sheetData>
    <row r="3" spans="1:16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6" ht="27.3">
      <c r="B4" s="97"/>
      <c r="L4" s="201" t="s">
        <v>305</v>
      </c>
      <c r="M4" s="201"/>
      <c r="N4" s="201"/>
      <c r="O4" s="201"/>
      <c r="P4" s="201"/>
    </row>
    <row r="5" spans="1:16" ht="27.3">
      <c r="B5" s="97"/>
      <c r="L5" s="36"/>
      <c r="M5" s="36"/>
      <c r="N5" s="36" t="s">
        <v>319</v>
      </c>
      <c r="O5" s="36"/>
      <c r="P5" s="36"/>
    </row>
    <row r="6" spans="1:16" ht="27.3">
      <c r="B6" s="181" t="s">
        <v>286</v>
      </c>
    </row>
    <row r="7" spans="1:16" ht="20.3">
      <c r="B7" s="98"/>
      <c r="N7" s="3" t="s">
        <v>167</v>
      </c>
    </row>
    <row r="8" spans="1:16" ht="79.55" customHeight="1">
      <c r="B8" s="47" t="s">
        <v>0</v>
      </c>
      <c r="C8" s="41" t="s">
        <v>1</v>
      </c>
      <c r="D8" s="41" t="s">
        <v>57</v>
      </c>
      <c r="E8" s="41" t="s">
        <v>56</v>
      </c>
      <c r="F8" s="41" t="s">
        <v>58</v>
      </c>
      <c r="G8" s="41" t="s">
        <v>2</v>
      </c>
      <c r="H8" s="41" t="s">
        <v>59</v>
      </c>
      <c r="I8" s="41" t="s">
        <v>63</v>
      </c>
      <c r="J8" s="41" t="s">
        <v>60</v>
      </c>
      <c r="K8" s="4" t="s">
        <v>3</v>
      </c>
      <c r="L8" s="4" t="s">
        <v>4</v>
      </c>
      <c r="M8" s="4" t="s">
        <v>61</v>
      </c>
      <c r="N8" s="4" t="s">
        <v>62</v>
      </c>
      <c r="O8" s="4" t="s">
        <v>64</v>
      </c>
      <c r="P8" s="4" t="s">
        <v>65</v>
      </c>
    </row>
    <row r="9" spans="1:16" ht="14">
      <c r="B9" s="40" t="s">
        <v>5</v>
      </c>
      <c r="C9" s="41" t="s">
        <v>6</v>
      </c>
      <c r="D9" s="40" t="s">
        <v>7</v>
      </c>
      <c r="E9" s="41" t="s">
        <v>8</v>
      </c>
      <c r="F9" s="41" t="s">
        <v>9</v>
      </c>
      <c r="G9" s="41" t="s">
        <v>10</v>
      </c>
      <c r="H9" s="41" t="s">
        <v>11</v>
      </c>
      <c r="I9" s="41" t="s">
        <v>12</v>
      </c>
      <c r="J9" s="41" t="s">
        <v>13</v>
      </c>
      <c r="K9" s="41" t="s">
        <v>14</v>
      </c>
      <c r="L9" s="41" t="s">
        <v>15</v>
      </c>
      <c r="M9" s="41" t="s">
        <v>16</v>
      </c>
      <c r="N9" s="41" t="s">
        <v>17</v>
      </c>
      <c r="O9" s="41" t="s">
        <v>66</v>
      </c>
      <c r="P9" s="41" t="s">
        <v>67</v>
      </c>
    </row>
    <row r="10" spans="1:16" ht="14">
      <c r="A10" s="1">
        <v>1</v>
      </c>
      <c r="B10" s="16" t="s">
        <v>125</v>
      </c>
      <c r="C10" s="99">
        <v>5</v>
      </c>
      <c r="D10" s="99">
        <v>5</v>
      </c>
      <c r="E10" s="99">
        <v>14</v>
      </c>
      <c r="F10" s="99">
        <v>14</v>
      </c>
      <c r="G10" s="99">
        <v>4</v>
      </c>
      <c r="H10" s="99">
        <v>4</v>
      </c>
      <c r="I10" s="99">
        <v>14</v>
      </c>
      <c r="J10" s="99">
        <v>14</v>
      </c>
      <c r="K10" s="99">
        <f>C10+E10+G10+I10</f>
        <v>37</v>
      </c>
      <c r="L10" s="99">
        <f>D10+F10+H10+J10</f>
        <v>37</v>
      </c>
      <c r="M10" s="99">
        <f>C10+E10+G10+I10</f>
        <v>37</v>
      </c>
      <c r="N10" s="99">
        <v>0</v>
      </c>
      <c r="O10" s="99">
        <f>L10</f>
        <v>37</v>
      </c>
      <c r="P10" s="99">
        <v>0</v>
      </c>
    </row>
    <row r="11" spans="1:16" ht="14">
      <c r="A11" s="1">
        <v>2</v>
      </c>
      <c r="B11" s="16" t="s">
        <v>126</v>
      </c>
      <c r="C11" s="99">
        <v>0</v>
      </c>
      <c r="D11" s="99">
        <v>0</v>
      </c>
      <c r="E11" s="99">
        <v>0</v>
      </c>
      <c r="F11" s="99">
        <v>0</v>
      </c>
      <c r="G11" s="99">
        <v>21</v>
      </c>
      <c r="H11" s="99">
        <v>21</v>
      </c>
      <c r="I11" s="99">
        <v>4</v>
      </c>
      <c r="J11" s="99">
        <v>4</v>
      </c>
      <c r="K11" s="99">
        <f>C11+E11+G11+I11</f>
        <v>25</v>
      </c>
      <c r="L11" s="99">
        <f>D11+F11+H11+J11</f>
        <v>25</v>
      </c>
      <c r="M11" s="99">
        <f>C11+E11+G11+I11</f>
        <v>25</v>
      </c>
      <c r="N11" s="99">
        <v>0</v>
      </c>
      <c r="O11" s="99">
        <f>L11</f>
        <v>25</v>
      </c>
      <c r="P11" s="99">
        <v>0</v>
      </c>
    </row>
    <row r="12" spans="1:16" s="100" customFormat="1" ht="15.4">
      <c r="A12" s="100">
        <v>9</v>
      </c>
      <c r="B12" s="101" t="s">
        <v>89</v>
      </c>
      <c r="C12" s="102">
        <f>SUM(C10:C11)</f>
        <v>5</v>
      </c>
      <c r="D12" s="102">
        <f>SUM(D10:D11)</f>
        <v>5</v>
      </c>
      <c r="E12" s="102">
        <f t="shared" ref="E12:P12" si="0">SUM(E10:E11)</f>
        <v>14</v>
      </c>
      <c r="F12" s="102">
        <f t="shared" si="0"/>
        <v>14</v>
      </c>
      <c r="G12" s="102">
        <f t="shared" si="0"/>
        <v>25</v>
      </c>
      <c r="H12" s="102">
        <f t="shared" si="0"/>
        <v>25</v>
      </c>
      <c r="I12" s="102">
        <f t="shared" si="0"/>
        <v>18</v>
      </c>
      <c r="J12" s="102">
        <f t="shared" si="0"/>
        <v>18</v>
      </c>
      <c r="K12" s="102">
        <f t="shared" si="0"/>
        <v>62</v>
      </c>
      <c r="L12" s="102">
        <f t="shared" si="0"/>
        <v>62</v>
      </c>
      <c r="M12" s="102">
        <f t="shared" si="0"/>
        <v>62</v>
      </c>
      <c r="N12" s="102">
        <f t="shared" si="0"/>
        <v>0</v>
      </c>
      <c r="O12" s="102">
        <f>SUM(O10:O11)</f>
        <v>62</v>
      </c>
      <c r="P12" s="102">
        <f t="shared" si="0"/>
        <v>0</v>
      </c>
    </row>
    <row r="13" spans="1:16" s="100" customFormat="1" ht="57.7" customHeight="1">
      <c r="B13" s="103"/>
      <c r="C13" s="105" t="s">
        <v>171</v>
      </c>
      <c r="D13" s="105" t="s">
        <v>171</v>
      </c>
      <c r="E13" s="3" t="s">
        <v>127</v>
      </c>
      <c r="F13" s="3" t="s">
        <v>127</v>
      </c>
      <c r="G13" s="3" t="s">
        <v>129</v>
      </c>
      <c r="H13" s="3" t="s">
        <v>129</v>
      </c>
      <c r="I13" s="18" t="s">
        <v>230</v>
      </c>
      <c r="J13" s="18" t="s">
        <v>230</v>
      </c>
      <c r="K13" s="104"/>
      <c r="L13" s="104"/>
      <c r="M13" s="104"/>
      <c r="N13" s="104"/>
      <c r="O13" s="104"/>
      <c r="P13" s="104"/>
    </row>
    <row r="14" spans="1:16" s="3" customFormat="1" ht="15.4">
      <c r="A14" s="1"/>
      <c r="B14" s="17"/>
      <c r="C14" s="3" t="s">
        <v>161</v>
      </c>
      <c r="D14" s="3" t="s">
        <v>161</v>
      </c>
      <c r="E14" s="3" t="s">
        <v>128</v>
      </c>
      <c r="F14" s="3" t="s">
        <v>128</v>
      </c>
      <c r="G14" s="3" t="s">
        <v>130</v>
      </c>
      <c r="H14" s="3" t="s">
        <v>130</v>
      </c>
      <c r="I14" s="3" t="s">
        <v>202</v>
      </c>
      <c r="J14" s="3" t="s">
        <v>202</v>
      </c>
    </row>
    <row r="15" spans="1:16" s="3" customFormat="1" ht="15.4">
      <c r="A15" s="1"/>
      <c r="B15" s="17"/>
      <c r="C15" s="3" t="s">
        <v>169</v>
      </c>
      <c r="D15" s="3" t="s">
        <v>169</v>
      </c>
      <c r="E15" s="3" t="s">
        <v>224</v>
      </c>
      <c r="F15" s="3" t="s">
        <v>224</v>
      </c>
      <c r="G15" s="3" t="s">
        <v>219</v>
      </c>
      <c r="H15" s="3" t="s">
        <v>219</v>
      </c>
      <c r="I15" s="3" t="s">
        <v>220</v>
      </c>
      <c r="J15" s="3" t="s">
        <v>220</v>
      </c>
    </row>
    <row r="16" spans="1:16" s="3" customFormat="1" ht="25.2">
      <c r="A16" s="1"/>
      <c r="B16" s="17"/>
      <c r="C16" s="105" t="s">
        <v>206</v>
      </c>
      <c r="D16" s="105" t="s">
        <v>206</v>
      </c>
      <c r="E16" s="3" t="s">
        <v>225</v>
      </c>
      <c r="F16" s="3" t="s">
        <v>225</v>
      </c>
      <c r="G16" s="3" t="s">
        <v>243</v>
      </c>
      <c r="H16" s="3" t="s">
        <v>243</v>
      </c>
      <c r="I16" s="18" t="s">
        <v>203</v>
      </c>
      <c r="J16" s="18" t="s">
        <v>203</v>
      </c>
    </row>
    <row r="17" spans="1:16" s="3" customFormat="1" ht="25.9">
      <c r="A17" s="1"/>
      <c r="B17" s="17"/>
      <c r="C17" s="105" t="s">
        <v>287</v>
      </c>
      <c r="D17" s="105" t="s">
        <v>287</v>
      </c>
      <c r="E17" s="3" t="s">
        <v>226</v>
      </c>
      <c r="F17" s="3" t="s">
        <v>226</v>
      </c>
      <c r="G17" s="105" t="s">
        <v>204</v>
      </c>
      <c r="H17" s="105" t="s">
        <v>204</v>
      </c>
      <c r="I17" s="18" t="s">
        <v>205</v>
      </c>
      <c r="J17" s="18" t="s">
        <v>205</v>
      </c>
    </row>
    <row r="18" spans="1:16" s="3" customFormat="1" ht="15.4">
      <c r="A18" s="1"/>
      <c r="B18" s="17"/>
      <c r="C18" s="105"/>
      <c r="D18" s="105"/>
      <c r="E18" s="3" t="s">
        <v>288</v>
      </c>
      <c r="F18" s="3" t="s">
        <v>288</v>
      </c>
      <c r="G18" s="105" t="s">
        <v>227</v>
      </c>
      <c r="H18" s="105" t="s">
        <v>227</v>
      </c>
      <c r="I18" s="1" t="s">
        <v>207</v>
      </c>
      <c r="J18" s="1" t="s">
        <v>207</v>
      </c>
    </row>
    <row r="19" spans="1:16" ht="25.2">
      <c r="B19" s="17"/>
      <c r="E19" s="105" t="s">
        <v>209</v>
      </c>
      <c r="F19" s="105" t="s">
        <v>209</v>
      </c>
      <c r="G19" s="105" t="s">
        <v>228</v>
      </c>
      <c r="H19" s="105" t="s">
        <v>228</v>
      </c>
      <c r="I19" s="18" t="s">
        <v>208</v>
      </c>
      <c r="J19" s="18" t="s">
        <v>208</v>
      </c>
    </row>
    <row r="20" spans="1:16" ht="25.2">
      <c r="B20" s="17"/>
      <c r="E20" s="3" t="s">
        <v>170</v>
      </c>
      <c r="F20" s="3" t="s">
        <v>170</v>
      </c>
      <c r="G20" s="105" t="s">
        <v>229</v>
      </c>
      <c r="H20" s="105" t="s">
        <v>229</v>
      </c>
      <c r="I20" s="105" t="s">
        <v>211</v>
      </c>
      <c r="J20" s="105" t="s">
        <v>211</v>
      </c>
    </row>
    <row r="21" spans="1:16" ht="15.4">
      <c r="B21" s="17"/>
      <c r="C21" s="105"/>
      <c r="G21" s="3" t="s">
        <v>210</v>
      </c>
      <c r="H21" s="3" t="s">
        <v>210</v>
      </c>
      <c r="I21" s="3" t="s">
        <v>212</v>
      </c>
      <c r="J21" s="3" t="s">
        <v>212</v>
      </c>
      <c r="P21" s="36" t="s">
        <v>200</v>
      </c>
    </row>
    <row r="22" spans="1:16" ht="15.4">
      <c r="B22" s="17"/>
      <c r="C22" s="105"/>
      <c r="G22" s="105"/>
    </row>
    <row r="23" spans="1:16" ht="15.4">
      <c r="B23" s="17"/>
    </row>
    <row r="24" spans="1:16" ht="15.4">
      <c r="B24" s="17"/>
    </row>
    <row r="25" spans="1:16" ht="15.4">
      <c r="B25" s="17"/>
    </row>
    <row r="26" spans="1:16" ht="15.4">
      <c r="B26" s="17"/>
    </row>
    <row r="27" spans="1:16" ht="15.4">
      <c r="B27" s="17"/>
    </row>
    <row r="28" spans="1:16" ht="15.4">
      <c r="B28" s="17"/>
    </row>
    <row r="29" spans="1:16" ht="15.4">
      <c r="B29" s="17"/>
    </row>
  </sheetData>
  <mergeCells count="2">
    <mergeCell ref="B3:P3"/>
    <mergeCell ref="L4:P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topLeftCell="A16" zoomScaleSheetLayoutView="100" workbookViewId="0">
      <selection activeCell="B2" sqref="B2:E2"/>
    </sheetView>
  </sheetViews>
  <sheetFormatPr defaultColWidth="9.125" defaultRowHeight="12.6"/>
  <cols>
    <col min="1" max="1" width="6.75" style="74" customWidth="1"/>
    <col min="2" max="2" width="51.125" style="1" customWidth="1"/>
    <col min="3" max="3" width="21.75" style="1" customWidth="1"/>
    <col min="4" max="4" width="17.125" style="1" customWidth="1"/>
    <col min="5" max="5" width="19.25" style="151" customWidth="1"/>
    <col min="6" max="6" width="13.875" style="1" customWidth="1"/>
    <col min="7" max="7" width="12.875" style="1" customWidth="1"/>
    <col min="8" max="8" width="13.625" style="1" customWidth="1"/>
    <col min="9" max="9" width="20.75" style="1" customWidth="1"/>
    <col min="10" max="10" width="18" style="1" customWidth="1"/>
    <col min="11" max="16384" width="9.125" style="1"/>
  </cols>
  <sheetData>
    <row r="1" spans="1:7">
      <c r="B1" s="201" t="s">
        <v>306</v>
      </c>
      <c r="C1" s="201"/>
      <c r="D1" s="201"/>
      <c r="E1" s="201"/>
    </row>
    <row r="2" spans="1:7">
      <c r="B2" s="201" t="s">
        <v>309</v>
      </c>
      <c r="C2" s="201"/>
      <c r="D2" s="201"/>
      <c r="E2" s="201"/>
    </row>
    <row r="3" spans="1:7" ht="19.600000000000001" customHeight="1">
      <c r="B3" s="176" t="s">
        <v>289</v>
      </c>
    </row>
    <row r="4" spans="1:7">
      <c r="E4" s="151" t="s">
        <v>72</v>
      </c>
    </row>
    <row r="5" spans="1:7" ht="13.3" thickBot="1">
      <c r="B5" s="46" t="s">
        <v>5</v>
      </c>
      <c r="C5" s="46" t="s">
        <v>132</v>
      </c>
      <c r="D5" s="46" t="s">
        <v>7</v>
      </c>
      <c r="E5" s="152" t="s">
        <v>8</v>
      </c>
    </row>
    <row r="6" spans="1:7" ht="48.1" customHeight="1">
      <c r="A6" s="74">
        <v>1</v>
      </c>
      <c r="B6" s="106" t="s">
        <v>133</v>
      </c>
      <c r="C6" s="107" t="s">
        <v>134</v>
      </c>
      <c r="D6" s="107" t="s">
        <v>135</v>
      </c>
      <c r="E6" s="153" t="s">
        <v>136</v>
      </c>
    </row>
    <row r="7" spans="1:7" ht="31.5">
      <c r="A7" s="74">
        <v>2</v>
      </c>
      <c r="B7" s="42" t="s">
        <v>235</v>
      </c>
      <c r="C7" s="43">
        <f>125000000+40000000</f>
        <v>165000000</v>
      </c>
      <c r="D7" s="108">
        <v>40000000</v>
      </c>
      <c r="E7" s="154" t="s">
        <v>137</v>
      </c>
      <c r="G7" s="109"/>
    </row>
    <row r="8" spans="1:7">
      <c r="A8" s="74">
        <v>3</v>
      </c>
      <c r="B8" s="42" t="s">
        <v>236</v>
      </c>
      <c r="C8" s="43">
        <f>65000000+10000000</f>
        <v>75000000</v>
      </c>
      <c r="D8" s="108">
        <v>10000000</v>
      </c>
      <c r="E8" s="154" t="s">
        <v>138</v>
      </c>
      <c r="G8" s="109"/>
    </row>
    <row r="9" spans="1:7">
      <c r="A9" s="74">
        <v>4</v>
      </c>
      <c r="B9" s="42" t="s">
        <v>237</v>
      </c>
      <c r="C9" s="43">
        <v>90000000</v>
      </c>
      <c r="D9" s="108">
        <v>0</v>
      </c>
      <c r="E9" s="155"/>
      <c r="G9" s="109"/>
    </row>
    <row r="10" spans="1:7" ht="21">
      <c r="A10" s="74">
        <v>5</v>
      </c>
      <c r="B10" s="42" t="s">
        <v>238</v>
      </c>
      <c r="C10" s="43">
        <v>45000000</v>
      </c>
      <c r="D10" s="108">
        <v>0</v>
      </c>
      <c r="E10" s="154" t="s">
        <v>139</v>
      </c>
      <c r="G10" s="109"/>
    </row>
    <row r="11" spans="1:7" ht="25.2">
      <c r="A11" s="74">
        <v>6</v>
      </c>
      <c r="B11" s="42" t="s">
        <v>239</v>
      </c>
      <c r="C11" s="43">
        <v>4000000</v>
      </c>
      <c r="D11" s="108">
        <v>0</v>
      </c>
      <c r="E11" s="155"/>
      <c r="G11" s="109"/>
    </row>
    <row r="12" spans="1:7">
      <c r="A12" s="74">
        <v>7</v>
      </c>
      <c r="B12" s="42"/>
      <c r="C12" s="43"/>
      <c r="D12" s="108">
        <v>0</v>
      </c>
      <c r="E12" s="155"/>
      <c r="G12" s="109"/>
    </row>
    <row r="13" spans="1:7" ht="14.7" thickBot="1">
      <c r="A13" s="74">
        <v>10</v>
      </c>
      <c r="B13" s="111" t="s">
        <v>140</v>
      </c>
      <c r="C13" s="112">
        <f>SUM(C7:C12)</f>
        <v>379000000</v>
      </c>
      <c r="D13" s="112">
        <f>SUM(D7:D12)</f>
        <v>50000000</v>
      </c>
      <c r="E13" s="156"/>
      <c r="G13" s="109"/>
    </row>
    <row r="14" spans="1:7" ht="25.2">
      <c r="A14" s="74">
        <v>11</v>
      </c>
      <c r="B14" s="106" t="s">
        <v>141</v>
      </c>
      <c r="C14" s="114" t="s">
        <v>134</v>
      </c>
      <c r="D14" s="107" t="s">
        <v>135</v>
      </c>
      <c r="E14" s="153" t="s">
        <v>136</v>
      </c>
      <c r="G14" s="109"/>
    </row>
    <row r="15" spans="1:7" ht="14">
      <c r="A15" s="74">
        <v>12</v>
      </c>
      <c r="B15" s="115"/>
      <c r="C15" s="9">
        <v>0</v>
      </c>
      <c r="D15" s="9">
        <v>0</v>
      </c>
      <c r="E15" s="155"/>
    </row>
    <row r="16" spans="1:7" ht="14">
      <c r="A16" s="74">
        <v>13</v>
      </c>
      <c r="B16" s="115"/>
      <c r="C16" s="9"/>
      <c r="D16" s="9"/>
      <c r="E16" s="155"/>
    </row>
    <row r="17" spans="1:5" ht="14.7" thickBot="1">
      <c r="A17" s="74">
        <v>14</v>
      </c>
      <c r="B17" s="111" t="s">
        <v>142</v>
      </c>
      <c r="C17" s="112">
        <f>SUM(C15:C16)</f>
        <v>0</v>
      </c>
      <c r="D17" s="113">
        <f>SUM(D15:D16)</f>
        <v>0</v>
      </c>
      <c r="E17" s="156"/>
    </row>
    <row r="18" spans="1:5" ht="25.2">
      <c r="A18" s="74">
        <v>15</v>
      </c>
      <c r="B18" s="106" t="s">
        <v>143</v>
      </c>
      <c r="C18" s="114" t="s">
        <v>134</v>
      </c>
      <c r="D18" s="107" t="s">
        <v>135</v>
      </c>
      <c r="E18" s="153" t="s">
        <v>136</v>
      </c>
    </row>
    <row r="19" spans="1:5" ht="14">
      <c r="A19" s="74">
        <v>16</v>
      </c>
      <c r="B19" s="115" t="s">
        <v>144</v>
      </c>
      <c r="C19" s="110">
        <v>30000000</v>
      </c>
      <c r="D19" s="110">
        <v>9500000</v>
      </c>
      <c r="E19" s="155"/>
    </row>
    <row r="20" spans="1:5" ht="14">
      <c r="A20" s="74">
        <v>17</v>
      </c>
      <c r="B20" s="115"/>
      <c r="C20" s="9"/>
      <c r="D20" s="9"/>
      <c r="E20" s="155"/>
    </row>
    <row r="21" spans="1:5" ht="14.7" thickBot="1">
      <c r="A21" s="74">
        <v>18</v>
      </c>
      <c r="B21" s="111" t="s">
        <v>145</v>
      </c>
      <c r="C21" s="112">
        <f>SUM(C19:C20)</f>
        <v>30000000</v>
      </c>
      <c r="D21" s="112">
        <f>SUM(D19:D20)</f>
        <v>9500000</v>
      </c>
      <c r="E21" s="157"/>
    </row>
    <row r="22" spans="1:5" ht="25.2">
      <c r="A22" s="74">
        <v>19</v>
      </c>
      <c r="B22" s="116" t="s">
        <v>146</v>
      </c>
      <c r="C22" s="114" t="s">
        <v>134</v>
      </c>
      <c r="D22" s="107" t="s">
        <v>135</v>
      </c>
      <c r="E22" s="153" t="s">
        <v>136</v>
      </c>
    </row>
    <row r="23" spans="1:5" ht="14">
      <c r="A23" s="74">
        <v>20</v>
      </c>
      <c r="B23" s="115" t="s">
        <v>147</v>
      </c>
      <c r="C23" s="110">
        <v>19000000</v>
      </c>
      <c r="D23" s="110">
        <v>0</v>
      </c>
      <c r="E23" s="158"/>
    </row>
    <row r="24" spans="1:5" ht="14">
      <c r="A24" s="74">
        <v>21</v>
      </c>
      <c r="B24" s="115" t="s">
        <v>148</v>
      </c>
      <c r="C24" s="110">
        <v>69000000</v>
      </c>
      <c r="D24" s="110">
        <v>0</v>
      </c>
      <c r="E24" s="158"/>
    </row>
    <row r="25" spans="1:5" ht="14.7" thickBot="1">
      <c r="A25" s="74">
        <v>22</v>
      </c>
      <c r="B25" s="111" t="s">
        <v>149</v>
      </c>
      <c r="C25" s="112">
        <f>SUM(C23:C24)</f>
        <v>88000000</v>
      </c>
      <c r="D25" s="112">
        <f>SUM(D23:D24)</f>
        <v>0</v>
      </c>
      <c r="E25" s="157"/>
    </row>
    <row r="26" spans="1:5" ht="25.2">
      <c r="A26" s="74">
        <v>23</v>
      </c>
      <c r="B26" s="106" t="s">
        <v>150</v>
      </c>
      <c r="C26" s="114" t="s">
        <v>134</v>
      </c>
      <c r="D26" s="107" t="s">
        <v>135</v>
      </c>
      <c r="E26" s="153" t="s">
        <v>136</v>
      </c>
    </row>
    <row r="27" spans="1:5" ht="14">
      <c r="A27" s="74">
        <v>24</v>
      </c>
      <c r="B27" s="115" t="s">
        <v>151</v>
      </c>
      <c r="C27" s="9"/>
      <c r="D27" s="9"/>
      <c r="E27" s="155"/>
    </row>
    <row r="28" spans="1:5" ht="14">
      <c r="A28" s="74">
        <v>25</v>
      </c>
      <c r="B28" s="115" t="s">
        <v>152</v>
      </c>
      <c r="C28" s="9"/>
      <c r="D28" s="9"/>
      <c r="E28" s="155"/>
    </row>
    <row r="29" spans="1:5" ht="14.7" thickBot="1">
      <c r="A29" s="74">
        <v>26</v>
      </c>
      <c r="B29" s="111" t="s">
        <v>153</v>
      </c>
      <c r="C29" s="113">
        <f>SUM(C27:C28)</f>
        <v>0</v>
      </c>
      <c r="D29" s="113">
        <f>SUM(D27:D28)</f>
        <v>0</v>
      </c>
      <c r="E29" s="156"/>
    </row>
    <row r="30" spans="1:5" ht="26.25" customHeight="1">
      <c r="A30" s="74">
        <v>27</v>
      </c>
      <c r="B30" s="117" t="s">
        <v>154</v>
      </c>
      <c r="C30" s="165">
        <f>SUM(C13,C17,C21,C25,C29)</f>
        <v>497000000</v>
      </c>
      <c r="D30" s="165">
        <f>SUM(D13,D17,D21,D25,D29)</f>
        <v>59500000</v>
      </c>
      <c r="E30" s="159"/>
    </row>
    <row r="31" spans="1:5">
      <c r="E31" s="196" t="s">
        <v>200</v>
      </c>
    </row>
    <row r="32" spans="1:5" ht="15.4">
      <c r="B32" s="118"/>
    </row>
    <row r="33" spans="2:2">
      <c r="B33" s="119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23"/>
  <sheetViews>
    <sheetView view="pageBreakPreview" zoomScaleSheetLayoutView="100" workbookViewId="0">
      <selection activeCell="O24" sqref="O24"/>
    </sheetView>
  </sheetViews>
  <sheetFormatPr defaultColWidth="9.125" defaultRowHeight="12.6"/>
  <cols>
    <col min="1" max="1" width="4.875" style="1" customWidth="1"/>
    <col min="2" max="2" width="34.75" style="1" customWidth="1"/>
    <col min="3" max="3" width="9.75" style="1" customWidth="1"/>
    <col min="4" max="14" width="9.125" style="1" customWidth="1"/>
    <col min="15" max="15" width="12.75" style="1" customWidth="1"/>
    <col min="16" max="16384" width="9.125" style="1"/>
  </cols>
  <sheetData>
    <row r="2" spans="1:15">
      <c r="B2" s="201" t="s">
        <v>307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>
      <c r="G3" s="200" t="s">
        <v>320</v>
      </c>
      <c r="H3" s="200"/>
      <c r="I3" s="200"/>
      <c r="J3" s="200"/>
      <c r="K3" s="200"/>
      <c r="L3" s="200"/>
      <c r="M3" s="200"/>
      <c r="N3" s="200"/>
      <c r="O3" s="200"/>
    </row>
    <row r="4" spans="1:15" ht="15.4">
      <c r="B4" s="118" t="s">
        <v>290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4">
      <c r="B5" s="11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B6" s="1" t="s">
        <v>244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 t="s">
        <v>72</v>
      </c>
    </row>
    <row r="7" spans="1:15" ht="15.4">
      <c r="B7" s="141" t="s">
        <v>0</v>
      </c>
      <c r="C7" s="142" t="s">
        <v>100</v>
      </c>
      <c r="D7" s="142" t="s">
        <v>101</v>
      </c>
      <c r="E7" s="142" t="s">
        <v>102</v>
      </c>
      <c r="F7" s="142" t="s">
        <v>103</v>
      </c>
      <c r="G7" s="142" t="s">
        <v>104</v>
      </c>
      <c r="H7" s="142" t="s">
        <v>105</v>
      </c>
      <c r="I7" s="142" t="s">
        <v>106</v>
      </c>
      <c r="J7" s="142" t="s">
        <v>107</v>
      </c>
      <c r="K7" s="142" t="s">
        <v>108</v>
      </c>
      <c r="L7" s="142" t="s">
        <v>109</v>
      </c>
      <c r="M7" s="142" t="s">
        <v>110</v>
      </c>
      <c r="N7" s="142" t="s">
        <v>111</v>
      </c>
      <c r="O7" s="143" t="s">
        <v>73</v>
      </c>
    </row>
    <row r="8" spans="1:15" ht="14">
      <c r="B8" s="144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17</v>
      </c>
      <c r="O8" s="9" t="s">
        <v>66</v>
      </c>
    </row>
    <row r="9" spans="1:15">
      <c r="A9" s="1">
        <v>1</v>
      </c>
      <c r="B9" s="145" t="s">
        <v>112</v>
      </c>
      <c r="C9" s="146">
        <f>$O$9/12</f>
        <v>83319670.833333328</v>
      </c>
      <c r="D9" s="146">
        <f t="shared" ref="D9:N9" si="0">$O$9/12</f>
        <v>83319670.833333328</v>
      </c>
      <c r="E9" s="146">
        <f t="shared" si="0"/>
        <v>83319670.833333328</v>
      </c>
      <c r="F9" s="146">
        <f t="shared" si="0"/>
        <v>83319670.833333328</v>
      </c>
      <c r="G9" s="146">
        <f t="shared" si="0"/>
        <v>83319670.833333328</v>
      </c>
      <c r="H9" s="146">
        <f t="shared" si="0"/>
        <v>83319670.833333328</v>
      </c>
      <c r="I9" s="146">
        <f t="shared" si="0"/>
        <v>83319670.833333328</v>
      </c>
      <c r="J9" s="146">
        <f t="shared" si="0"/>
        <v>83319670.833333328</v>
      </c>
      <c r="K9" s="146">
        <f t="shared" si="0"/>
        <v>83319670.833333328</v>
      </c>
      <c r="L9" s="146">
        <f t="shared" si="0"/>
        <v>83319670.833333328</v>
      </c>
      <c r="M9" s="146">
        <f t="shared" si="0"/>
        <v>83319670.833333328</v>
      </c>
      <c r="N9" s="146">
        <f t="shared" si="0"/>
        <v>83319670.833333328</v>
      </c>
      <c r="O9" s="147">
        <f>'1 bevétel-kiadás'!C63</f>
        <v>999836050</v>
      </c>
    </row>
    <row r="10" spans="1:15">
      <c r="A10" s="1">
        <v>2</v>
      </c>
      <c r="B10" s="145" t="s">
        <v>113</v>
      </c>
      <c r="C10" s="146">
        <f>58583/12</f>
        <v>4881.916666666667</v>
      </c>
      <c r="D10" s="146">
        <f t="shared" ref="D10:N10" si="1">58583/12</f>
        <v>4881.916666666667</v>
      </c>
      <c r="E10" s="146">
        <f t="shared" si="1"/>
        <v>4881.916666666667</v>
      </c>
      <c r="F10" s="146">
        <f t="shared" si="1"/>
        <v>4881.916666666667</v>
      </c>
      <c r="G10" s="146">
        <f t="shared" si="1"/>
        <v>4881.916666666667</v>
      </c>
      <c r="H10" s="146">
        <f t="shared" si="1"/>
        <v>4881.916666666667</v>
      </c>
      <c r="I10" s="146">
        <f t="shared" si="1"/>
        <v>4881.916666666667</v>
      </c>
      <c r="J10" s="146">
        <f t="shared" si="1"/>
        <v>4881.916666666667</v>
      </c>
      <c r="K10" s="146">
        <f t="shared" si="1"/>
        <v>4881.916666666667</v>
      </c>
      <c r="L10" s="146">
        <f t="shared" si="1"/>
        <v>4881.916666666667</v>
      </c>
      <c r="M10" s="146">
        <f t="shared" si="1"/>
        <v>4881.916666666667</v>
      </c>
      <c r="N10" s="146">
        <f t="shared" si="1"/>
        <v>4881.916666666667</v>
      </c>
      <c r="O10" s="147">
        <f>'1 bevétel-kiadás'!E63</f>
        <v>121780026</v>
      </c>
    </row>
    <row r="11" spans="1:15" ht="25.2">
      <c r="A11" s="1">
        <v>3</v>
      </c>
      <c r="B11" s="145" t="s">
        <v>114</v>
      </c>
      <c r="C11" s="146">
        <f>$O$11/12</f>
        <v>33823195.333333336</v>
      </c>
      <c r="D11" s="146">
        <f t="shared" ref="D11:N11" si="2">$O$11/12</f>
        <v>33823195.333333336</v>
      </c>
      <c r="E11" s="146">
        <f t="shared" si="2"/>
        <v>33823195.333333336</v>
      </c>
      <c r="F11" s="146">
        <f t="shared" si="2"/>
        <v>33823195.333333336</v>
      </c>
      <c r="G11" s="146">
        <f t="shared" si="2"/>
        <v>33823195.333333336</v>
      </c>
      <c r="H11" s="146">
        <f>$O$11/12</f>
        <v>33823195.333333336</v>
      </c>
      <c r="I11" s="146">
        <f t="shared" si="2"/>
        <v>33823195.333333336</v>
      </c>
      <c r="J11" s="146">
        <f t="shared" si="2"/>
        <v>33823195.333333336</v>
      </c>
      <c r="K11" s="146">
        <f t="shared" si="2"/>
        <v>33823195.333333336</v>
      </c>
      <c r="L11" s="146">
        <f t="shared" si="2"/>
        <v>33823195.333333336</v>
      </c>
      <c r="M11" s="146">
        <f t="shared" si="2"/>
        <v>33823195.333333336</v>
      </c>
      <c r="N11" s="146">
        <f t="shared" si="2"/>
        <v>33823195.333333336</v>
      </c>
      <c r="O11" s="147">
        <f>'1 bevétel-kiadás'!G63</f>
        <v>405878344</v>
      </c>
    </row>
    <row r="12" spans="1:15">
      <c r="A12" s="1">
        <v>4</v>
      </c>
      <c r="B12" s="145" t="s">
        <v>166</v>
      </c>
      <c r="C12" s="146">
        <f>68700/12</f>
        <v>5725</v>
      </c>
      <c r="D12" s="146">
        <f t="shared" ref="D12:N12" si="3">68700/12</f>
        <v>5725</v>
      </c>
      <c r="E12" s="146">
        <f t="shared" si="3"/>
        <v>5725</v>
      </c>
      <c r="F12" s="146">
        <f t="shared" si="3"/>
        <v>5725</v>
      </c>
      <c r="G12" s="146">
        <f t="shared" si="3"/>
        <v>5725</v>
      </c>
      <c r="H12" s="146">
        <f t="shared" si="3"/>
        <v>5725</v>
      </c>
      <c r="I12" s="146">
        <f t="shared" si="3"/>
        <v>5725</v>
      </c>
      <c r="J12" s="146">
        <f t="shared" si="3"/>
        <v>5725</v>
      </c>
      <c r="K12" s="146">
        <f t="shared" si="3"/>
        <v>5725</v>
      </c>
      <c r="L12" s="146">
        <f t="shared" si="3"/>
        <v>5725</v>
      </c>
      <c r="M12" s="146">
        <f t="shared" si="3"/>
        <v>5725</v>
      </c>
      <c r="N12" s="146">
        <f t="shared" si="3"/>
        <v>5725</v>
      </c>
      <c r="O12" s="147">
        <f>'1 bevétel-kiadás'!I63</f>
        <v>218201217</v>
      </c>
    </row>
    <row r="13" spans="1:15">
      <c r="A13" s="1">
        <v>5</v>
      </c>
      <c r="B13" s="148" t="s">
        <v>115</v>
      </c>
      <c r="C13" s="149">
        <f>SUM(C9:C12)</f>
        <v>117153473.08333334</v>
      </c>
      <c r="D13" s="149">
        <f t="shared" ref="D13:N13" si="4">SUM(D9:D12)</f>
        <v>117153473.08333334</v>
      </c>
      <c r="E13" s="149">
        <f t="shared" si="4"/>
        <v>117153473.08333334</v>
      </c>
      <c r="F13" s="149">
        <f t="shared" si="4"/>
        <v>117153473.08333334</v>
      </c>
      <c r="G13" s="149">
        <f t="shared" si="4"/>
        <v>117153473.08333334</v>
      </c>
      <c r="H13" s="149">
        <f t="shared" si="4"/>
        <v>117153473.08333334</v>
      </c>
      <c r="I13" s="149">
        <f t="shared" si="4"/>
        <v>117153473.08333334</v>
      </c>
      <c r="J13" s="149">
        <f t="shared" si="4"/>
        <v>117153473.08333334</v>
      </c>
      <c r="K13" s="149">
        <f t="shared" si="4"/>
        <v>117153473.08333334</v>
      </c>
      <c r="L13" s="149">
        <f t="shared" si="4"/>
        <v>117153473.08333334</v>
      </c>
      <c r="M13" s="149">
        <f t="shared" si="4"/>
        <v>117153473.08333334</v>
      </c>
      <c r="N13" s="149">
        <f t="shared" si="4"/>
        <v>117153473.08333334</v>
      </c>
      <c r="O13" s="149">
        <f>SUM(O9:O12)</f>
        <v>1745695637</v>
      </c>
    </row>
    <row r="15" spans="1:15">
      <c r="B15" s="18" t="s">
        <v>245</v>
      </c>
      <c r="O15" s="1" t="s">
        <v>72</v>
      </c>
    </row>
    <row r="16" spans="1:15" ht="15.4">
      <c r="B16" s="141" t="s">
        <v>0</v>
      </c>
      <c r="C16" s="142" t="s">
        <v>100</v>
      </c>
      <c r="D16" s="142" t="s">
        <v>101</v>
      </c>
      <c r="E16" s="142" t="s">
        <v>102</v>
      </c>
      <c r="F16" s="142" t="s">
        <v>103</v>
      </c>
      <c r="G16" s="142" t="s">
        <v>104</v>
      </c>
      <c r="H16" s="142" t="s">
        <v>105</v>
      </c>
      <c r="I16" s="142" t="s">
        <v>106</v>
      </c>
      <c r="J16" s="142" t="s">
        <v>107</v>
      </c>
      <c r="K16" s="142" t="s">
        <v>108</v>
      </c>
      <c r="L16" s="142" t="s">
        <v>109</v>
      </c>
      <c r="M16" s="142" t="s">
        <v>110</v>
      </c>
      <c r="N16" s="142" t="s">
        <v>111</v>
      </c>
      <c r="O16" s="143" t="s">
        <v>73</v>
      </c>
    </row>
    <row r="17" spans="1:15" ht="14">
      <c r="B17" s="144" t="s">
        <v>5</v>
      </c>
      <c r="C17" s="9" t="s">
        <v>6</v>
      </c>
      <c r="D17" s="9" t="s">
        <v>7</v>
      </c>
      <c r="E17" s="9" t="s">
        <v>8</v>
      </c>
      <c r="F17" s="9" t="s">
        <v>9</v>
      </c>
      <c r="G17" s="9" t="s">
        <v>10</v>
      </c>
      <c r="H17" s="9" t="s">
        <v>11</v>
      </c>
      <c r="I17" s="9" t="s">
        <v>12</v>
      </c>
      <c r="J17" s="9" t="s">
        <v>13</v>
      </c>
      <c r="K17" s="9" t="s">
        <v>14</v>
      </c>
      <c r="L17" s="9" t="s">
        <v>15</v>
      </c>
      <c r="M17" s="9" t="s">
        <v>16</v>
      </c>
      <c r="N17" s="9" t="s">
        <v>17</v>
      </c>
      <c r="O17" s="9" t="s">
        <v>66</v>
      </c>
    </row>
    <row r="18" spans="1:15">
      <c r="A18" s="1">
        <v>1</v>
      </c>
      <c r="B18" s="145" t="s">
        <v>112</v>
      </c>
      <c r="C18" s="146">
        <f>$O$9/12</f>
        <v>83319670.833333328</v>
      </c>
      <c r="D18" s="146">
        <f t="shared" ref="D18:N18" si="5">$O$9/12</f>
        <v>83319670.833333328</v>
      </c>
      <c r="E18" s="146">
        <f t="shared" si="5"/>
        <v>83319670.833333328</v>
      </c>
      <c r="F18" s="146">
        <f t="shared" si="5"/>
        <v>83319670.833333328</v>
      </c>
      <c r="G18" s="146">
        <f t="shared" si="5"/>
        <v>83319670.833333328</v>
      </c>
      <c r="H18" s="146">
        <f t="shared" si="5"/>
        <v>83319670.833333328</v>
      </c>
      <c r="I18" s="146">
        <f t="shared" si="5"/>
        <v>83319670.833333328</v>
      </c>
      <c r="J18" s="146">
        <f t="shared" si="5"/>
        <v>83319670.833333328</v>
      </c>
      <c r="K18" s="146">
        <f t="shared" si="5"/>
        <v>83319670.833333328</v>
      </c>
      <c r="L18" s="146">
        <f t="shared" si="5"/>
        <v>83319670.833333328</v>
      </c>
      <c r="M18" s="146">
        <f t="shared" si="5"/>
        <v>83319670.833333328</v>
      </c>
      <c r="N18" s="146">
        <f t="shared" si="5"/>
        <v>83319670.833333328</v>
      </c>
      <c r="O18" s="147">
        <f>'1 bevétel-kiadás'!D29</f>
        <v>805359946</v>
      </c>
    </row>
    <row r="19" spans="1:15">
      <c r="A19" s="1">
        <v>2</v>
      </c>
      <c r="B19" s="145" t="s">
        <v>113</v>
      </c>
      <c r="C19" s="146">
        <f>58583/12</f>
        <v>4881.916666666667</v>
      </c>
      <c r="D19" s="146">
        <f t="shared" ref="D19:N19" si="6">58583/12</f>
        <v>4881.916666666667</v>
      </c>
      <c r="E19" s="146">
        <f t="shared" si="6"/>
        <v>4881.916666666667</v>
      </c>
      <c r="F19" s="146">
        <f t="shared" si="6"/>
        <v>4881.916666666667</v>
      </c>
      <c r="G19" s="146">
        <f t="shared" si="6"/>
        <v>4881.916666666667</v>
      </c>
      <c r="H19" s="146">
        <f t="shared" si="6"/>
        <v>4881.916666666667</v>
      </c>
      <c r="I19" s="146">
        <f t="shared" si="6"/>
        <v>4881.916666666667</v>
      </c>
      <c r="J19" s="146">
        <f t="shared" si="6"/>
        <v>4881.916666666667</v>
      </c>
      <c r="K19" s="146">
        <f t="shared" si="6"/>
        <v>4881.916666666667</v>
      </c>
      <c r="L19" s="146">
        <f t="shared" si="6"/>
        <v>4881.916666666667</v>
      </c>
      <c r="M19" s="146">
        <f t="shared" si="6"/>
        <v>4881.916666666667</v>
      </c>
      <c r="N19" s="146">
        <f t="shared" si="6"/>
        <v>4881.916666666667</v>
      </c>
      <c r="O19" s="147">
        <f>'1 bevétel-kiadás'!F29</f>
        <v>124762159</v>
      </c>
    </row>
    <row r="20" spans="1:15" ht="25.2">
      <c r="A20" s="1">
        <v>3</v>
      </c>
      <c r="B20" s="145" t="s">
        <v>114</v>
      </c>
      <c r="C20" s="146">
        <f>$O$11/12</f>
        <v>33823195.333333336</v>
      </c>
      <c r="D20" s="146">
        <f t="shared" ref="D20:N20" si="7">$O$11/12</f>
        <v>33823195.333333336</v>
      </c>
      <c r="E20" s="146">
        <f t="shared" si="7"/>
        <v>33823195.333333336</v>
      </c>
      <c r="F20" s="146">
        <f t="shared" si="7"/>
        <v>33823195.333333336</v>
      </c>
      <c r="G20" s="146">
        <f t="shared" si="7"/>
        <v>33823195.333333336</v>
      </c>
      <c r="H20" s="146">
        <f>$O$11/12</f>
        <v>33823195.333333336</v>
      </c>
      <c r="I20" s="146">
        <f t="shared" si="7"/>
        <v>33823195.333333336</v>
      </c>
      <c r="J20" s="146">
        <f t="shared" si="7"/>
        <v>33823195.333333336</v>
      </c>
      <c r="K20" s="146">
        <f t="shared" si="7"/>
        <v>33823195.333333336</v>
      </c>
      <c r="L20" s="146">
        <f t="shared" si="7"/>
        <v>33823195.333333336</v>
      </c>
      <c r="M20" s="146">
        <f t="shared" si="7"/>
        <v>33823195.333333336</v>
      </c>
      <c r="N20" s="146">
        <f t="shared" si="7"/>
        <v>33823195.333333336</v>
      </c>
      <c r="O20" s="147">
        <f>'1 bevétel-kiadás'!H29</f>
        <v>460011614</v>
      </c>
    </row>
    <row r="21" spans="1:15">
      <c r="A21" s="1">
        <v>4</v>
      </c>
      <c r="B21" s="145" t="s">
        <v>166</v>
      </c>
      <c r="C21" s="146">
        <f>68700/12</f>
        <v>5725</v>
      </c>
      <c r="D21" s="146">
        <f t="shared" ref="D21:N21" si="8">68700/12</f>
        <v>5725</v>
      </c>
      <c r="E21" s="146">
        <f t="shared" si="8"/>
        <v>5725</v>
      </c>
      <c r="F21" s="146">
        <f t="shared" si="8"/>
        <v>5725</v>
      </c>
      <c r="G21" s="146">
        <f t="shared" si="8"/>
        <v>5725</v>
      </c>
      <c r="H21" s="146">
        <f t="shared" si="8"/>
        <v>5725</v>
      </c>
      <c r="I21" s="146">
        <f t="shared" si="8"/>
        <v>5725</v>
      </c>
      <c r="J21" s="146">
        <f t="shared" si="8"/>
        <v>5725</v>
      </c>
      <c r="K21" s="146">
        <f t="shared" si="8"/>
        <v>5725</v>
      </c>
      <c r="L21" s="146">
        <f t="shared" si="8"/>
        <v>5725</v>
      </c>
      <c r="M21" s="146">
        <f t="shared" si="8"/>
        <v>5725</v>
      </c>
      <c r="N21" s="146">
        <f t="shared" si="8"/>
        <v>5725</v>
      </c>
      <c r="O21" s="147">
        <f>'1 bevétel-kiadás'!J29</f>
        <v>219740425</v>
      </c>
    </row>
    <row r="22" spans="1:15">
      <c r="A22" s="1">
        <v>5</v>
      </c>
      <c r="B22" s="148" t="s">
        <v>115</v>
      </c>
      <c r="C22" s="149">
        <f>SUM(C18:C21)</f>
        <v>117153473.08333334</v>
      </c>
      <c r="D22" s="149">
        <f t="shared" ref="D22:N22" si="9">SUM(D18:D21)</f>
        <v>117153473.08333334</v>
      </c>
      <c r="E22" s="149">
        <f t="shared" si="9"/>
        <v>117153473.08333334</v>
      </c>
      <c r="F22" s="149">
        <f t="shared" si="9"/>
        <v>117153473.08333334</v>
      </c>
      <c r="G22" s="149">
        <f t="shared" si="9"/>
        <v>117153473.08333334</v>
      </c>
      <c r="H22" s="149">
        <f t="shared" si="9"/>
        <v>117153473.08333334</v>
      </c>
      <c r="I22" s="149">
        <f t="shared" si="9"/>
        <v>117153473.08333334</v>
      </c>
      <c r="J22" s="149">
        <f t="shared" si="9"/>
        <v>117153473.08333334</v>
      </c>
      <c r="K22" s="149">
        <f t="shared" si="9"/>
        <v>117153473.08333334</v>
      </c>
      <c r="L22" s="149">
        <f t="shared" si="9"/>
        <v>117153473.08333334</v>
      </c>
      <c r="M22" s="149">
        <f t="shared" si="9"/>
        <v>117153473.08333334</v>
      </c>
      <c r="N22" s="149">
        <f t="shared" si="9"/>
        <v>117153473.08333334</v>
      </c>
      <c r="O22" s="149">
        <f>SUM(O18:O21)</f>
        <v>1609874144</v>
      </c>
    </row>
    <row r="23" spans="1:15">
      <c r="O23" s="197" t="s">
        <v>200</v>
      </c>
    </row>
  </sheetData>
  <mergeCells count="2">
    <mergeCell ref="B2:O2"/>
    <mergeCell ref="G3:O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6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21"/>
  <sheetViews>
    <sheetView tabSelected="1" view="pageBreakPreview" zoomScale="65" zoomScaleNormal="60" zoomScaleSheetLayoutView="65" workbookViewId="0">
      <pane ySplit="7" topLeftCell="A8" activePane="bottomLeft" state="frozen"/>
      <selection pane="bottomLeft" activeCell="B9" sqref="B9"/>
    </sheetView>
  </sheetViews>
  <sheetFormatPr defaultColWidth="9.125" defaultRowHeight="12.6"/>
  <cols>
    <col min="1" max="1" width="4.875" style="74" customWidth="1"/>
    <col min="2" max="2" width="55" style="18" customWidth="1"/>
    <col min="3" max="3" width="21" style="172" customWidth="1"/>
    <col min="4" max="4" width="20.25" style="172" customWidth="1"/>
    <col min="5" max="6" width="19.25" style="172" customWidth="1"/>
    <col min="7" max="10" width="18.625" style="172" customWidth="1"/>
    <col min="11" max="11" width="21.375" style="172" customWidth="1"/>
    <col min="12" max="12" width="22.25" style="172" customWidth="1"/>
    <col min="13" max="13" width="20.875" style="172" customWidth="1"/>
    <col min="14" max="14" width="18.625" style="172" customWidth="1"/>
    <col min="15" max="15" width="20.375" style="172" customWidth="1"/>
    <col min="16" max="16" width="17.375" style="172" customWidth="1"/>
    <col min="17" max="24" width="9.125" style="1" customWidth="1"/>
    <col min="25" max="16384" width="9.125" style="1"/>
  </cols>
  <sheetData>
    <row r="2" spans="1:16" ht="27.3">
      <c r="B2" s="19"/>
      <c r="C2" s="199" t="s">
        <v>292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6" ht="27.3">
      <c r="B3" s="179" t="s">
        <v>246</v>
      </c>
      <c r="C3" s="193" t="s">
        <v>291</v>
      </c>
      <c r="M3" s="172" t="s">
        <v>311</v>
      </c>
    </row>
    <row r="4" spans="1:16" ht="27.3">
      <c r="B4" s="19"/>
    </row>
    <row r="5" spans="1:16" ht="20.3">
      <c r="B5" s="20" t="s">
        <v>155</v>
      </c>
    </row>
    <row r="6" spans="1:16" ht="20.3">
      <c r="B6" s="20"/>
      <c r="O6" s="172" t="s">
        <v>72</v>
      </c>
    </row>
    <row r="7" spans="1:16" ht="85.5" customHeight="1">
      <c r="B7" s="4" t="s">
        <v>0</v>
      </c>
      <c r="C7" s="23" t="s">
        <v>1</v>
      </c>
      <c r="D7" s="23" t="s">
        <v>57</v>
      </c>
      <c r="E7" s="23" t="s">
        <v>56</v>
      </c>
      <c r="F7" s="23" t="s">
        <v>58</v>
      </c>
      <c r="G7" s="23" t="s">
        <v>2</v>
      </c>
      <c r="H7" s="23" t="s">
        <v>59</v>
      </c>
      <c r="I7" s="23" t="s">
        <v>63</v>
      </c>
      <c r="J7" s="23" t="s">
        <v>60</v>
      </c>
      <c r="K7" s="24" t="s">
        <v>3</v>
      </c>
      <c r="L7" s="24" t="s">
        <v>4</v>
      </c>
      <c r="M7" s="24" t="s">
        <v>61</v>
      </c>
      <c r="N7" s="24" t="s">
        <v>62</v>
      </c>
      <c r="O7" s="24" t="s">
        <v>64</v>
      </c>
      <c r="P7" s="24" t="s">
        <v>65</v>
      </c>
    </row>
    <row r="8" spans="1:16" ht="14.7">
      <c r="B8" s="4" t="s">
        <v>5</v>
      </c>
      <c r="C8" s="23" t="s">
        <v>6</v>
      </c>
      <c r="D8" s="24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23" t="s">
        <v>13</v>
      </c>
      <c r="K8" s="24" t="s">
        <v>14</v>
      </c>
      <c r="L8" s="24" t="s">
        <v>15</v>
      </c>
      <c r="M8" s="24" t="s">
        <v>16</v>
      </c>
      <c r="N8" s="24" t="s">
        <v>17</v>
      </c>
      <c r="O8" s="24" t="s">
        <v>66</v>
      </c>
      <c r="P8" s="24" t="s">
        <v>67</v>
      </c>
    </row>
    <row r="9" spans="1:16" ht="91.6" customHeight="1">
      <c r="A9" s="74">
        <v>1</v>
      </c>
      <c r="B9" s="5" t="s">
        <v>172</v>
      </c>
      <c r="C9" s="25">
        <v>52064870</v>
      </c>
      <c r="D9" s="25">
        <v>84472707</v>
      </c>
      <c r="E9" s="25">
        <v>1200000</v>
      </c>
      <c r="F9" s="25">
        <f>1200000</f>
        <v>1200000</v>
      </c>
      <c r="G9" s="25">
        <v>319637000</v>
      </c>
      <c r="H9" s="25">
        <v>393945140</v>
      </c>
      <c r="I9" s="25">
        <v>55194679</v>
      </c>
      <c r="J9" s="25">
        <v>56733887</v>
      </c>
      <c r="K9" s="25">
        <f>C9+E9+G9+I9</f>
        <v>428096549</v>
      </c>
      <c r="L9" s="25">
        <f>D9+F9+H9+J9</f>
        <v>536351734</v>
      </c>
      <c r="M9" s="25">
        <f>C9+E9+G9+I9</f>
        <v>428096549</v>
      </c>
      <c r="N9" s="25">
        <v>0</v>
      </c>
      <c r="O9" s="25">
        <f>D9+F9+H9+J9</f>
        <v>536351734</v>
      </c>
      <c r="P9" s="25">
        <v>0</v>
      </c>
    </row>
    <row r="10" spans="1:16" ht="42.65">
      <c r="A10" s="74">
        <v>2</v>
      </c>
      <c r="B10" s="5" t="s">
        <v>173</v>
      </c>
      <c r="C10" s="25">
        <f t="shared" ref="C10:J10" si="0">SUM(C11:C12)</f>
        <v>329000000</v>
      </c>
      <c r="D10" s="25">
        <f t="shared" si="0"/>
        <v>329000000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ref="K10:L32" si="1">C10+E10+G10+I10</f>
        <v>329000000</v>
      </c>
      <c r="L10" s="25">
        <f t="shared" si="1"/>
        <v>329000000</v>
      </c>
      <c r="M10" s="25">
        <f t="shared" ref="M10:M32" si="2">C10+E10+G10+I10</f>
        <v>329000000</v>
      </c>
      <c r="N10" s="25">
        <v>0</v>
      </c>
      <c r="O10" s="25">
        <f t="shared" ref="O10:O32" si="3">D10+F10+H10+J10</f>
        <v>329000000</v>
      </c>
      <c r="P10" s="25">
        <v>0</v>
      </c>
    </row>
    <row r="11" spans="1:16" ht="14.7">
      <c r="A11" s="74">
        <v>3</v>
      </c>
      <c r="B11" s="6" t="s">
        <v>18</v>
      </c>
      <c r="C11" s="26">
        <v>325000000</v>
      </c>
      <c r="D11" s="26">
        <v>325000000</v>
      </c>
      <c r="E11" s="26"/>
      <c r="F11" s="26"/>
      <c r="G11" s="26"/>
      <c r="H11" s="26"/>
      <c r="I11" s="26"/>
      <c r="J11" s="26"/>
      <c r="K11" s="25">
        <f t="shared" si="1"/>
        <v>325000000</v>
      </c>
      <c r="L11" s="25">
        <f t="shared" si="1"/>
        <v>325000000</v>
      </c>
      <c r="M11" s="25">
        <f t="shared" si="2"/>
        <v>325000000</v>
      </c>
      <c r="N11" s="25">
        <v>0</v>
      </c>
      <c r="O11" s="25">
        <f t="shared" si="3"/>
        <v>325000000</v>
      </c>
      <c r="P11" s="25">
        <v>0</v>
      </c>
    </row>
    <row r="12" spans="1:16" ht="14.7">
      <c r="A12" s="74">
        <v>4</v>
      </c>
      <c r="B12" s="6" t="s">
        <v>248</v>
      </c>
      <c r="C12" s="26">
        <v>4000000</v>
      </c>
      <c r="D12" s="26">
        <v>4000000</v>
      </c>
      <c r="E12" s="26"/>
      <c r="F12" s="26"/>
      <c r="G12" s="26"/>
      <c r="H12" s="26"/>
      <c r="I12" s="26"/>
      <c r="J12" s="26"/>
      <c r="K12" s="25">
        <f t="shared" si="1"/>
        <v>4000000</v>
      </c>
      <c r="L12" s="25">
        <f t="shared" si="1"/>
        <v>4000000</v>
      </c>
      <c r="M12" s="25">
        <f t="shared" si="2"/>
        <v>4000000</v>
      </c>
      <c r="N12" s="25">
        <v>0</v>
      </c>
      <c r="O12" s="25">
        <f t="shared" si="3"/>
        <v>4000000</v>
      </c>
      <c r="P12" s="25">
        <v>0</v>
      </c>
    </row>
    <row r="13" spans="1:16" ht="29.4">
      <c r="A13" s="74">
        <v>5</v>
      </c>
      <c r="B13" s="7" t="s">
        <v>19</v>
      </c>
      <c r="C13" s="27">
        <v>0</v>
      </c>
      <c r="D13" s="27">
        <v>0</v>
      </c>
      <c r="E13" s="28">
        <v>112322806</v>
      </c>
      <c r="F13" s="28">
        <v>112322806</v>
      </c>
      <c r="G13" s="28">
        <v>76919485</v>
      </c>
      <c r="H13" s="28">
        <v>56479676</v>
      </c>
      <c r="I13" s="28">
        <v>153052478</v>
      </c>
      <c r="J13" s="28">
        <v>153052478</v>
      </c>
      <c r="K13" s="29">
        <f t="shared" si="1"/>
        <v>342294769</v>
      </c>
      <c r="L13" s="29">
        <f t="shared" si="1"/>
        <v>321854960</v>
      </c>
      <c r="M13" s="29">
        <f t="shared" si="2"/>
        <v>342294769</v>
      </c>
      <c r="N13" s="29">
        <v>0</v>
      </c>
      <c r="O13" s="29">
        <f t="shared" si="3"/>
        <v>321854960</v>
      </c>
      <c r="P13" s="29">
        <v>0</v>
      </c>
    </row>
    <row r="14" spans="1:16" ht="14.7">
      <c r="A14" s="74">
        <v>6</v>
      </c>
      <c r="B14" s="5" t="s">
        <v>174</v>
      </c>
      <c r="C14" s="34">
        <v>247748619</v>
      </c>
      <c r="D14" s="34">
        <f>266894272-D15</f>
        <v>250808653</v>
      </c>
      <c r="E14" s="25"/>
      <c r="F14" s="25"/>
      <c r="G14" s="25"/>
      <c r="H14" s="25"/>
      <c r="I14" s="25"/>
      <c r="J14" s="25"/>
      <c r="K14" s="25">
        <f t="shared" si="1"/>
        <v>247748619</v>
      </c>
      <c r="L14" s="25">
        <f t="shared" si="1"/>
        <v>250808653</v>
      </c>
      <c r="M14" s="25">
        <f t="shared" si="2"/>
        <v>247748619</v>
      </c>
      <c r="N14" s="25">
        <v>0</v>
      </c>
      <c r="O14" s="25">
        <f t="shared" si="3"/>
        <v>250808653</v>
      </c>
      <c r="P14" s="25">
        <v>0</v>
      </c>
    </row>
    <row r="15" spans="1:16" ht="29.4">
      <c r="A15" s="74">
        <v>7</v>
      </c>
      <c r="B15" s="5" t="s">
        <v>175</v>
      </c>
      <c r="C15" s="25">
        <v>16085619</v>
      </c>
      <c r="D15" s="25">
        <v>16085619</v>
      </c>
      <c r="E15" s="25"/>
      <c r="F15" s="25">
        <f>2982133</f>
        <v>2982133</v>
      </c>
      <c r="G15" s="25"/>
      <c r="H15" s="25"/>
      <c r="I15" s="25"/>
      <c r="J15" s="25"/>
      <c r="K15" s="25">
        <f t="shared" si="1"/>
        <v>16085619</v>
      </c>
      <c r="L15" s="25">
        <f t="shared" si="1"/>
        <v>19067752</v>
      </c>
      <c r="M15" s="25">
        <f t="shared" si="2"/>
        <v>16085619</v>
      </c>
      <c r="N15" s="25">
        <v>0</v>
      </c>
      <c r="O15" s="25">
        <f t="shared" si="3"/>
        <v>19067752</v>
      </c>
      <c r="P15" s="25">
        <v>0</v>
      </c>
    </row>
    <row r="16" spans="1:16" ht="14.7">
      <c r="A16" s="74">
        <v>8</v>
      </c>
      <c r="B16" s="5" t="s">
        <v>176</v>
      </c>
      <c r="C16" s="25"/>
      <c r="D16" s="25">
        <v>825943</v>
      </c>
      <c r="E16" s="25"/>
      <c r="F16" s="25"/>
      <c r="G16" s="25"/>
      <c r="H16" s="25"/>
      <c r="I16" s="25"/>
      <c r="J16" s="25"/>
      <c r="K16" s="25">
        <f t="shared" si="1"/>
        <v>0</v>
      </c>
      <c r="L16" s="25">
        <f t="shared" si="1"/>
        <v>825943</v>
      </c>
      <c r="M16" s="25">
        <f t="shared" si="2"/>
        <v>0</v>
      </c>
      <c r="N16" s="25">
        <v>0</v>
      </c>
      <c r="O16" s="25">
        <f t="shared" si="3"/>
        <v>825943</v>
      </c>
      <c r="P16" s="25">
        <v>0</v>
      </c>
    </row>
    <row r="17" spans="1:16" ht="29.4">
      <c r="A17" s="74">
        <v>9</v>
      </c>
      <c r="B17" s="5" t="s">
        <v>23</v>
      </c>
      <c r="C17" s="25"/>
      <c r="D17" s="25"/>
      <c r="E17" s="25"/>
      <c r="F17" s="25"/>
      <c r="G17" s="25"/>
      <c r="H17" s="25"/>
      <c r="I17" s="25"/>
      <c r="J17" s="25"/>
      <c r="K17" s="25">
        <f t="shared" si="1"/>
        <v>0</v>
      </c>
      <c r="L17" s="25">
        <f t="shared" si="1"/>
        <v>0</v>
      </c>
      <c r="M17" s="25">
        <f t="shared" si="2"/>
        <v>0</v>
      </c>
      <c r="N17" s="25">
        <v>0</v>
      </c>
      <c r="O17" s="25">
        <f t="shared" si="3"/>
        <v>0</v>
      </c>
      <c r="P17" s="25">
        <v>0</v>
      </c>
    </row>
    <row r="18" spans="1:16" ht="14.7">
      <c r="A18" s="74">
        <v>10</v>
      </c>
      <c r="B18" s="7" t="s">
        <v>24</v>
      </c>
      <c r="C18" s="29">
        <f>C9+C10+C14+C15+C16+C17</f>
        <v>644899108</v>
      </c>
      <c r="D18" s="29">
        <f>D9+D10+D14+D15+D16+D17</f>
        <v>681192922</v>
      </c>
      <c r="E18" s="29">
        <f t="shared" ref="E18:J18" si="4">E9+E10+E14+E15+E16+E17+E13</f>
        <v>113522806</v>
      </c>
      <c r="F18" s="29">
        <f t="shared" si="4"/>
        <v>116504939</v>
      </c>
      <c r="G18" s="29">
        <f t="shared" si="4"/>
        <v>396556485</v>
      </c>
      <c r="H18" s="29">
        <f t="shared" si="4"/>
        <v>450424816</v>
      </c>
      <c r="I18" s="29">
        <f t="shared" si="4"/>
        <v>208247157</v>
      </c>
      <c r="J18" s="29">
        <f t="shared" si="4"/>
        <v>209786365</v>
      </c>
      <c r="K18" s="29">
        <f t="shared" si="1"/>
        <v>1363225556</v>
      </c>
      <c r="L18" s="29">
        <f t="shared" si="1"/>
        <v>1457909042</v>
      </c>
      <c r="M18" s="29">
        <f t="shared" si="2"/>
        <v>1363225556</v>
      </c>
      <c r="N18" s="29">
        <v>0</v>
      </c>
      <c r="O18" s="29">
        <f t="shared" si="3"/>
        <v>1457909042</v>
      </c>
      <c r="P18" s="29">
        <v>0</v>
      </c>
    </row>
    <row r="19" spans="1:16" ht="29.4">
      <c r="A19" s="74">
        <v>11</v>
      </c>
      <c r="B19" s="5" t="s">
        <v>177</v>
      </c>
      <c r="C19" s="27">
        <v>431212140</v>
      </c>
      <c r="D19" s="27">
        <v>90430540</v>
      </c>
      <c r="E19" s="27"/>
      <c r="F19" s="27"/>
      <c r="G19" s="27"/>
      <c r="H19" s="27"/>
      <c r="I19" s="27"/>
      <c r="J19" s="27"/>
      <c r="K19" s="25">
        <f t="shared" si="1"/>
        <v>431212140</v>
      </c>
      <c r="L19" s="25">
        <f t="shared" si="1"/>
        <v>90430540</v>
      </c>
      <c r="M19" s="25">
        <f t="shared" si="2"/>
        <v>431212140</v>
      </c>
      <c r="N19" s="25">
        <v>0</v>
      </c>
      <c r="O19" s="25">
        <f t="shared" si="3"/>
        <v>90430540</v>
      </c>
      <c r="P19" s="25">
        <v>0</v>
      </c>
    </row>
    <row r="20" spans="1:16" ht="14.7">
      <c r="A20" s="74">
        <v>12</v>
      </c>
      <c r="B20" s="5" t="s">
        <v>178</v>
      </c>
      <c r="C20" s="27">
        <v>290000</v>
      </c>
      <c r="D20" s="27">
        <v>2030401</v>
      </c>
      <c r="E20" s="27"/>
      <c r="F20" s="27"/>
      <c r="G20" s="27"/>
      <c r="H20" s="27"/>
      <c r="I20" s="27"/>
      <c r="J20" s="27"/>
      <c r="K20" s="25">
        <f t="shared" si="1"/>
        <v>290000</v>
      </c>
      <c r="L20" s="25">
        <f t="shared" si="1"/>
        <v>2030401</v>
      </c>
      <c r="M20" s="25">
        <f t="shared" si="2"/>
        <v>290000</v>
      </c>
      <c r="N20" s="25">
        <v>0</v>
      </c>
      <c r="O20" s="25">
        <f t="shared" si="3"/>
        <v>2030401</v>
      </c>
      <c r="P20" s="25">
        <v>0</v>
      </c>
    </row>
    <row r="21" spans="1:16" ht="44.05">
      <c r="A21" s="74">
        <v>13</v>
      </c>
      <c r="B21" s="5" t="s">
        <v>179</v>
      </c>
      <c r="C21" s="27"/>
      <c r="D21" s="27"/>
      <c r="E21" s="27"/>
      <c r="F21" s="27"/>
      <c r="G21" s="27"/>
      <c r="H21" s="27"/>
      <c r="I21" s="27"/>
      <c r="J21" s="27"/>
      <c r="K21" s="25">
        <f t="shared" si="1"/>
        <v>0</v>
      </c>
      <c r="L21" s="25">
        <f t="shared" si="1"/>
        <v>0</v>
      </c>
      <c r="M21" s="25">
        <f t="shared" si="2"/>
        <v>0</v>
      </c>
      <c r="N21" s="25">
        <v>0</v>
      </c>
      <c r="O21" s="25">
        <f t="shared" si="3"/>
        <v>0</v>
      </c>
      <c r="P21" s="25">
        <v>0</v>
      </c>
    </row>
    <row r="22" spans="1:16" ht="29.4">
      <c r="A22" s="74">
        <v>14</v>
      </c>
      <c r="B22" s="5" t="s">
        <v>28</v>
      </c>
      <c r="C22" s="25">
        <v>0</v>
      </c>
      <c r="D22" s="25">
        <v>0</v>
      </c>
      <c r="E22" s="25"/>
      <c r="F22" s="25"/>
      <c r="G22" s="25"/>
      <c r="H22" s="25"/>
      <c r="I22" s="25"/>
      <c r="J22" s="25"/>
      <c r="K22" s="25">
        <f t="shared" si="1"/>
        <v>0</v>
      </c>
      <c r="L22" s="25">
        <f t="shared" si="1"/>
        <v>0</v>
      </c>
      <c r="M22" s="25">
        <f t="shared" si="2"/>
        <v>0</v>
      </c>
      <c r="N22" s="25">
        <v>0</v>
      </c>
      <c r="O22" s="25">
        <f t="shared" si="3"/>
        <v>0</v>
      </c>
      <c r="P22" s="25">
        <v>0</v>
      </c>
    </row>
    <row r="23" spans="1:16" ht="29.4">
      <c r="A23" s="74">
        <v>15</v>
      </c>
      <c r="B23" s="5" t="s">
        <v>29</v>
      </c>
      <c r="C23" s="25">
        <v>0</v>
      </c>
      <c r="D23" s="25">
        <v>0</v>
      </c>
      <c r="E23" s="25"/>
      <c r="F23" s="25"/>
      <c r="G23" s="25"/>
      <c r="H23" s="25"/>
      <c r="I23" s="25"/>
      <c r="J23" s="25"/>
      <c r="K23" s="25">
        <f t="shared" si="1"/>
        <v>0</v>
      </c>
      <c r="L23" s="25">
        <f t="shared" si="1"/>
        <v>0</v>
      </c>
      <c r="M23" s="25">
        <f t="shared" si="2"/>
        <v>0</v>
      </c>
      <c r="N23" s="25">
        <v>0</v>
      </c>
      <c r="O23" s="25">
        <f t="shared" si="3"/>
        <v>0</v>
      </c>
      <c r="P23" s="25">
        <v>0</v>
      </c>
    </row>
    <row r="24" spans="1:16" ht="14.7">
      <c r="A24" s="74">
        <v>16</v>
      </c>
      <c r="B24" s="7" t="s">
        <v>30</v>
      </c>
      <c r="C24" s="29">
        <f>SUM(C19:C23)</f>
        <v>431502140</v>
      </c>
      <c r="D24" s="29">
        <f t="shared" ref="D24:I24" si="5">SUM(D19:D23)</f>
        <v>92460941</v>
      </c>
      <c r="E24" s="29">
        <f t="shared" si="5"/>
        <v>0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>SUM(J19:J23)</f>
        <v>0</v>
      </c>
      <c r="K24" s="29">
        <f t="shared" si="1"/>
        <v>431502140</v>
      </c>
      <c r="L24" s="29">
        <f t="shared" si="1"/>
        <v>92460941</v>
      </c>
      <c r="M24" s="29">
        <f t="shared" si="2"/>
        <v>431502140</v>
      </c>
      <c r="N24" s="29">
        <v>0</v>
      </c>
      <c r="O24" s="29">
        <f t="shared" si="3"/>
        <v>92460941</v>
      </c>
      <c r="P24" s="29">
        <v>0</v>
      </c>
    </row>
    <row r="25" spans="1:16" ht="14.7">
      <c r="A25" s="74">
        <v>17</v>
      </c>
      <c r="B25" s="5" t="s">
        <v>31</v>
      </c>
      <c r="C25" s="25">
        <f>C24+C18-E13-G13-I13</f>
        <v>734106479</v>
      </c>
      <c r="D25" s="25">
        <f>D24+D18-F13-H13-J13</f>
        <v>451798903</v>
      </c>
      <c r="E25" s="25">
        <f t="shared" ref="E25:J25" si="6">E24+E18</f>
        <v>113522806</v>
      </c>
      <c r="F25" s="25">
        <f t="shared" si="6"/>
        <v>116504939</v>
      </c>
      <c r="G25" s="25">
        <f t="shared" si="6"/>
        <v>396556485</v>
      </c>
      <c r="H25" s="25">
        <f t="shared" si="6"/>
        <v>450424816</v>
      </c>
      <c r="I25" s="25">
        <f t="shared" si="6"/>
        <v>208247157</v>
      </c>
      <c r="J25" s="25">
        <f t="shared" si="6"/>
        <v>209786365</v>
      </c>
      <c r="K25" s="25">
        <f t="shared" si="1"/>
        <v>1452432927</v>
      </c>
      <c r="L25" s="25">
        <f t="shared" si="1"/>
        <v>1228515023</v>
      </c>
      <c r="M25" s="25">
        <f t="shared" si="2"/>
        <v>1452432927</v>
      </c>
      <c r="N25" s="25">
        <v>0</v>
      </c>
      <c r="O25" s="25">
        <f t="shared" si="3"/>
        <v>1228515023</v>
      </c>
      <c r="P25" s="25">
        <v>0</v>
      </c>
    </row>
    <row r="26" spans="1:16" ht="14.7">
      <c r="A26" s="74">
        <v>18</v>
      </c>
      <c r="B26" s="5" t="s">
        <v>215</v>
      </c>
      <c r="C26" s="25">
        <v>184168000</v>
      </c>
      <c r="D26" s="25">
        <f>184168000+81620000</f>
        <v>265788000</v>
      </c>
      <c r="E26" s="25"/>
      <c r="F26" s="25"/>
      <c r="G26" s="25"/>
      <c r="H26" s="25"/>
      <c r="I26" s="25"/>
      <c r="J26" s="25"/>
      <c r="K26" s="25">
        <f>C26</f>
        <v>184168000</v>
      </c>
      <c r="L26" s="25">
        <f>D26</f>
        <v>265788000</v>
      </c>
      <c r="M26" s="25">
        <f>C26</f>
        <v>184168000</v>
      </c>
      <c r="N26" s="25"/>
      <c r="O26" s="25">
        <f>D26</f>
        <v>265788000</v>
      </c>
      <c r="P26" s="25"/>
    </row>
    <row r="27" spans="1:16" ht="44.05">
      <c r="A27" s="74">
        <v>19</v>
      </c>
      <c r="B27" s="8" t="s">
        <v>180</v>
      </c>
      <c r="C27" s="25">
        <v>81561571</v>
      </c>
      <c r="D27" s="25">
        <v>87773043</v>
      </c>
      <c r="E27" s="25">
        <v>8257220</v>
      </c>
      <c r="F27" s="25">
        <v>8257220</v>
      </c>
      <c r="G27" s="25">
        <v>9321859</v>
      </c>
      <c r="H27" s="25">
        <v>9586798</v>
      </c>
      <c r="I27" s="25">
        <v>9954060</v>
      </c>
      <c r="J27" s="25">
        <v>9954060</v>
      </c>
      <c r="K27" s="25">
        <f t="shared" si="1"/>
        <v>109094710</v>
      </c>
      <c r="L27" s="25">
        <f t="shared" si="1"/>
        <v>115571121</v>
      </c>
      <c r="M27" s="25">
        <f t="shared" si="2"/>
        <v>109094710</v>
      </c>
      <c r="N27" s="25">
        <v>0</v>
      </c>
      <c r="O27" s="25">
        <f t="shared" si="3"/>
        <v>115571121</v>
      </c>
      <c r="P27" s="25">
        <v>0</v>
      </c>
    </row>
    <row r="28" spans="1:16" ht="14.7">
      <c r="A28" s="74">
        <v>20</v>
      </c>
      <c r="B28" s="8" t="s">
        <v>181</v>
      </c>
      <c r="C28" s="30"/>
      <c r="D28" s="30"/>
      <c r="E28" s="25"/>
      <c r="F28" s="25"/>
      <c r="G28" s="30"/>
      <c r="H28" s="30"/>
      <c r="I28" s="30"/>
      <c r="J28" s="30"/>
      <c r="K28" s="25">
        <f t="shared" si="1"/>
        <v>0</v>
      </c>
      <c r="L28" s="25">
        <f t="shared" si="1"/>
        <v>0</v>
      </c>
      <c r="M28" s="25">
        <f t="shared" si="2"/>
        <v>0</v>
      </c>
      <c r="N28" s="25">
        <v>0</v>
      </c>
      <c r="O28" s="25">
        <f t="shared" si="3"/>
        <v>0</v>
      </c>
      <c r="P28" s="25">
        <v>0</v>
      </c>
    </row>
    <row r="29" spans="1:16" ht="14.7">
      <c r="A29" s="74">
        <v>21</v>
      </c>
      <c r="B29" s="21" t="s">
        <v>34</v>
      </c>
      <c r="C29" s="31">
        <f t="shared" ref="C29:I29" si="7">SUM(C25:C28)</f>
        <v>999836050</v>
      </c>
      <c r="D29" s="31">
        <f t="shared" si="7"/>
        <v>805359946</v>
      </c>
      <c r="E29" s="31">
        <f t="shared" si="7"/>
        <v>121780026</v>
      </c>
      <c r="F29" s="31">
        <f t="shared" si="7"/>
        <v>124762159</v>
      </c>
      <c r="G29" s="31">
        <f t="shared" si="7"/>
        <v>405878344</v>
      </c>
      <c r="H29" s="31">
        <f t="shared" si="7"/>
        <v>460011614</v>
      </c>
      <c r="I29" s="31">
        <f t="shared" si="7"/>
        <v>218201217</v>
      </c>
      <c r="J29" s="31">
        <f>SUM(J25:J28)</f>
        <v>219740425</v>
      </c>
      <c r="K29" s="32">
        <f t="shared" si="1"/>
        <v>1745695637</v>
      </c>
      <c r="L29" s="32">
        <f>D29+F29+H29+J29</f>
        <v>1609874144</v>
      </c>
      <c r="M29" s="34">
        <f t="shared" si="2"/>
        <v>1745695637</v>
      </c>
      <c r="N29" s="34">
        <v>0</v>
      </c>
      <c r="O29" s="35">
        <f t="shared" si="3"/>
        <v>1609874144</v>
      </c>
      <c r="P29" s="35">
        <v>0</v>
      </c>
    </row>
    <row r="30" spans="1:16" ht="14.7">
      <c r="A30" s="74">
        <v>22</v>
      </c>
      <c r="B30" s="8"/>
      <c r="C30" s="30"/>
      <c r="D30" s="30"/>
      <c r="E30" s="30"/>
      <c r="F30" s="30"/>
      <c r="G30" s="30"/>
      <c r="H30" s="30"/>
      <c r="I30" s="30"/>
      <c r="J30" s="30"/>
      <c r="K30" s="25">
        <f t="shared" si="1"/>
        <v>0</v>
      </c>
      <c r="L30" s="25">
        <f t="shared" si="1"/>
        <v>0</v>
      </c>
      <c r="M30" s="25">
        <f t="shared" si="2"/>
        <v>0</v>
      </c>
      <c r="N30" s="25">
        <v>0</v>
      </c>
      <c r="O30" s="25">
        <f t="shared" si="3"/>
        <v>0</v>
      </c>
      <c r="P30" s="25">
        <v>0</v>
      </c>
    </row>
    <row r="31" spans="1:16" s="10" customFormat="1" ht="28">
      <c r="A31" s="74">
        <v>23</v>
      </c>
      <c r="B31" s="6" t="s">
        <v>35</v>
      </c>
      <c r="C31" s="186">
        <f t="shared" ref="C31:J31" si="8">C29-C63</f>
        <v>0</v>
      </c>
      <c r="D31" s="186">
        <f t="shared" si="8"/>
        <v>0</v>
      </c>
      <c r="E31" s="186">
        <f t="shared" si="8"/>
        <v>0</v>
      </c>
      <c r="F31" s="186">
        <f t="shared" si="8"/>
        <v>0</v>
      </c>
      <c r="G31" s="186">
        <f t="shared" si="8"/>
        <v>0</v>
      </c>
      <c r="H31" s="186">
        <f t="shared" si="8"/>
        <v>0</v>
      </c>
      <c r="I31" s="186">
        <f t="shared" si="8"/>
        <v>0</v>
      </c>
      <c r="J31" s="186">
        <f t="shared" si="8"/>
        <v>0</v>
      </c>
      <c r="K31" s="187">
        <f t="shared" si="1"/>
        <v>0</v>
      </c>
      <c r="L31" s="187">
        <f t="shared" si="1"/>
        <v>0</v>
      </c>
      <c r="M31" s="187">
        <f t="shared" si="2"/>
        <v>0</v>
      </c>
      <c r="N31" s="187">
        <v>0</v>
      </c>
      <c r="O31" s="187">
        <f t="shared" si="3"/>
        <v>0</v>
      </c>
      <c r="P31" s="187">
        <v>0</v>
      </c>
    </row>
    <row r="32" spans="1:16" s="10" customFormat="1" ht="28">
      <c r="A32" s="74">
        <v>24</v>
      </c>
      <c r="B32" s="6" t="s">
        <v>36</v>
      </c>
      <c r="C32" s="186">
        <f t="shared" ref="C32:J32" si="9">C29-C63</f>
        <v>0</v>
      </c>
      <c r="D32" s="186">
        <f t="shared" si="9"/>
        <v>0</v>
      </c>
      <c r="E32" s="186">
        <f t="shared" si="9"/>
        <v>0</v>
      </c>
      <c r="F32" s="186">
        <f t="shared" si="9"/>
        <v>0</v>
      </c>
      <c r="G32" s="186">
        <f t="shared" si="9"/>
        <v>0</v>
      </c>
      <c r="H32" s="186">
        <f t="shared" si="9"/>
        <v>0</v>
      </c>
      <c r="I32" s="186">
        <f t="shared" si="9"/>
        <v>0</v>
      </c>
      <c r="J32" s="186">
        <f t="shared" si="9"/>
        <v>0</v>
      </c>
      <c r="K32" s="187">
        <f t="shared" si="1"/>
        <v>0</v>
      </c>
      <c r="L32" s="187">
        <f t="shared" si="1"/>
        <v>0</v>
      </c>
      <c r="M32" s="187">
        <f t="shared" si="2"/>
        <v>0</v>
      </c>
      <c r="N32" s="187">
        <v>0</v>
      </c>
      <c r="O32" s="187">
        <f t="shared" si="3"/>
        <v>0</v>
      </c>
      <c r="P32" s="187">
        <v>0</v>
      </c>
    </row>
    <row r="33" spans="1:16" s="10" customFormat="1" ht="20.3">
      <c r="A33" s="74"/>
      <c r="B33" s="20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</row>
    <row r="34" spans="1:16" s="10" customFormat="1" ht="20.3">
      <c r="A34" s="74"/>
      <c r="B34" s="20" t="s">
        <v>156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5" spans="1:16" s="10" customFormat="1" ht="20.3">
      <c r="A35" s="74"/>
      <c r="B35" s="20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6" s="10" customFormat="1" ht="80.25" customHeight="1">
      <c r="A36" s="74"/>
      <c r="B36" s="4" t="s">
        <v>0</v>
      </c>
      <c r="C36" s="23" t="s">
        <v>1</v>
      </c>
      <c r="D36" s="23" t="s">
        <v>57</v>
      </c>
      <c r="E36" s="23" t="s">
        <v>56</v>
      </c>
      <c r="F36" s="23" t="s">
        <v>58</v>
      </c>
      <c r="G36" s="23" t="s">
        <v>2</v>
      </c>
      <c r="H36" s="23" t="s">
        <v>59</v>
      </c>
      <c r="I36" s="23" t="s">
        <v>63</v>
      </c>
      <c r="J36" s="23" t="s">
        <v>60</v>
      </c>
      <c r="K36" s="24" t="s">
        <v>3</v>
      </c>
      <c r="L36" s="24" t="s">
        <v>4</v>
      </c>
      <c r="M36" s="24" t="s">
        <v>61</v>
      </c>
      <c r="N36" s="24" t="s">
        <v>62</v>
      </c>
      <c r="O36" s="24" t="s">
        <v>64</v>
      </c>
      <c r="P36" s="24" t="s">
        <v>65</v>
      </c>
    </row>
    <row r="37" spans="1:16" s="10" customFormat="1" ht="14.7">
      <c r="A37" s="74"/>
      <c r="B37" s="4" t="s">
        <v>5</v>
      </c>
      <c r="C37" s="23" t="s">
        <v>6</v>
      </c>
      <c r="D37" s="24" t="s">
        <v>7</v>
      </c>
      <c r="E37" s="23" t="s">
        <v>8</v>
      </c>
      <c r="F37" s="23" t="s">
        <v>9</v>
      </c>
      <c r="G37" s="23" t="s">
        <v>10</v>
      </c>
      <c r="H37" s="23" t="s">
        <v>11</v>
      </c>
      <c r="I37" s="23" t="s">
        <v>12</v>
      </c>
      <c r="J37" s="23" t="s">
        <v>13</v>
      </c>
      <c r="K37" s="24" t="s">
        <v>14</v>
      </c>
      <c r="L37" s="24" t="s">
        <v>15</v>
      </c>
      <c r="M37" s="24" t="s">
        <v>16</v>
      </c>
      <c r="N37" s="24" t="s">
        <v>17</v>
      </c>
      <c r="O37" s="24" t="s">
        <v>66</v>
      </c>
      <c r="P37" s="24" t="s">
        <v>67</v>
      </c>
    </row>
    <row r="38" spans="1:16" s="10" customFormat="1" ht="14.7">
      <c r="A38" s="74">
        <v>1</v>
      </c>
      <c r="B38" s="11" t="s">
        <v>182</v>
      </c>
      <c r="C38" s="25">
        <v>70626200</v>
      </c>
      <c r="D38" s="25">
        <v>75237297</v>
      </c>
      <c r="E38" s="25">
        <v>105732767</v>
      </c>
      <c r="F38" s="25">
        <v>107931030</v>
      </c>
      <c r="G38" s="25">
        <v>137395000</v>
      </c>
      <c r="H38" s="25">
        <v>146895000</v>
      </c>
      <c r="I38" s="25">
        <v>116981750</v>
      </c>
      <c r="J38" s="25">
        <v>116481750</v>
      </c>
      <c r="K38" s="25">
        <f>C38+E38+G38+I38</f>
        <v>430735717</v>
      </c>
      <c r="L38" s="25">
        <f>D38+F38+H38+J38</f>
        <v>446545077</v>
      </c>
      <c r="M38" s="25">
        <f>C38+E38+G38+I38</f>
        <v>430735717</v>
      </c>
      <c r="N38" s="25">
        <v>0</v>
      </c>
      <c r="O38" s="25">
        <f>D38+F38+H38+J38</f>
        <v>446545077</v>
      </c>
      <c r="P38" s="25">
        <v>0</v>
      </c>
    </row>
    <row r="39" spans="1:16" s="10" customFormat="1" ht="29.4">
      <c r="A39" s="74">
        <v>2</v>
      </c>
      <c r="B39" s="11" t="s">
        <v>183</v>
      </c>
      <c r="C39" s="25">
        <v>12116406</v>
      </c>
      <c r="D39" s="25">
        <v>12715849</v>
      </c>
      <c r="E39" s="25">
        <v>14196259</v>
      </c>
      <c r="F39" s="25">
        <v>14530442</v>
      </c>
      <c r="G39" s="25">
        <v>18751350</v>
      </c>
      <c r="H39" s="25">
        <v>18751350</v>
      </c>
      <c r="I39" s="25">
        <v>15976620</v>
      </c>
      <c r="J39" s="25">
        <v>16476620</v>
      </c>
      <c r="K39" s="25">
        <f>C39+E39+G39+I39</f>
        <v>61040635</v>
      </c>
      <c r="L39" s="25">
        <f t="shared" ref="L39:L62" si="10">D39+F39+H39+J39</f>
        <v>62474261</v>
      </c>
      <c r="M39" s="25">
        <f>C39+E39+G39+I39</f>
        <v>61040635</v>
      </c>
      <c r="N39" s="25">
        <v>0</v>
      </c>
      <c r="O39" s="25">
        <f t="shared" ref="O39:O51" si="11">D39+F39+H39+J39</f>
        <v>62474261</v>
      </c>
      <c r="P39" s="25">
        <v>0</v>
      </c>
    </row>
    <row r="40" spans="1:16" s="10" customFormat="1" ht="14.7">
      <c r="A40" s="74">
        <v>3</v>
      </c>
      <c r="B40" s="11" t="s">
        <v>184</v>
      </c>
      <c r="C40" s="25">
        <v>136707130</v>
      </c>
      <c r="D40" s="25">
        <v>177036633</v>
      </c>
      <c r="E40" s="25">
        <v>1851000</v>
      </c>
      <c r="F40" s="25">
        <v>2300687</v>
      </c>
      <c r="G40" s="25">
        <v>239219232</v>
      </c>
      <c r="H40" s="25">
        <v>277599378</v>
      </c>
      <c r="I40" s="25">
        <v>79492847</v>
      </c>
      <c r="J40" s="25">
        <v>79352885</v>
      </c>
      <c r="K40" s="25">
        <f>C40+E40+G40+I40</f>
        <v>457270209</v>
      </c>
      <c r="L40" s="25">
        <f t="shared" si="10"/>
        <v>536289583</v>
      </c>
      <c r="M40" s="25">
        <f>C40+E40+G40+I40</f>
        <v>457270209</v>
      </c>
      <c r="N40" s="25"/>
      <c r="O40" s="25">
        <f t="shared" si="11"/>
        <v>536289583</v>
      </c>
      <c r="P40" s="25">
        <v>0</v>
      </c>
    </row>
    <row r="41" spans="1:16" s="10" customFormat="1" ht="29.4">
      <c r="A41" s="74">
        <v>4</v>
      </c>
      <c r="B41" s="12" t="s">
        <v>214</v>
      </c>
      <c r="C41" s="29">
        <f>E13+G13+I13</f>
        <v>342294769</v>
      </c>
      <c r="D41" s="29">
        <f>F13+H13+J13</f>
        <v>321854960</v>
      </c>
      <c r="E41" s="25"/>
      <c r="F41" s="25"/>
      <c r="G41" s="25"/>
      <c r="H41" s="25"/>
      <c r="I41" s="25"/>
      <c r="J41" s="25"/>
      <c r="K41" s="25">
        <f t="shared" ref="K41:K62" si="12">C41+E41+G41+I41</f>
        <v>342294769</v>
      </c>
      <c r="L41" s="25">
        <f t="shared" si="10"/>
        <v>321854960</v>
      </c>
      <c r="M41" s="25">
        <f>C41+E41+G41+I41</f>
        <v>342294769</v>
      </c>
      <c r="N41" s="25">
        <v>0</v>
      </c>
      <c r="O41" s="25">
        <f t="shared" si="11"/>
        <v>321854960</v>
      </c>
      <c r="P41" s="25">
        <v>0</v>
      </c>
    </row>
    <row r="42" spans="1:16" s="10" customFormat="1" ht="14.7">
      <c r="A42" s="74">
        <v>5</v>
      </c>
      <c r="B42" s="11" t="s">
        <v>213</v>
      </c>
      <c r="C42" s="25">
        <f>SUM(C43:C47)</f>
        <v>70900000</v>
      </c>
      <c r="D42" s="25">
        <f>SUM(D43:D47)</f>
        <v>74607069</v>
      </c>
      <c r="E42" s="25">
        <f t="shared" ref="E42:P42" si="13">SUM(E43:E47)</f>
        <v>0</v>
      </c>
      <c r="F42" s="25">
        <f t="shared" si="13"/>
        <v>0</v>
      </c>
      <c r="G42" s="25">
        <f t="shared" si="13"/>
        <v>0</v>
      </c>
      <c r="H42" s="25">
        <f t="shared" si="13"/>
        <v>0</v>
      </c>
      <c r="I42" s="25">
        <f t="shared" si="13"/>
        <v>0</v>
      </c>
      <c r="J42" s="25">
        <f t="shared" si="13"/>
        <v>0</v>
      </c>
      <c r="K42" s="25">
        <f t="shared" si="13"/>
        <v>70900000</v>
      </c>
      <c r="L42" s="25">
        <f>SUM(L43:L47)</f>
        <v>74607069</v>
      </c>
      <c r="M42" s="25">
        <f t="shared" si="13"/>
        <v>9400000</v>
      </c>
      <c r="N42" s="25">
        <f t="shared" si="13"/>
        <v>61500000</v>
      </c>
      <c r="O42" s="25">
        <f>O43+O44+O45+O46+O47</f>
        <v>13107069</v>
      </c>
      <c r="P42" s="25">
        <f t="shared" si="13"/>
        <v>61500000</v>
      </c>
    </row>
    <row r="43" spans="1:16" s="10" customFormat="1" ht="28">
      <c r="A43" s="74">
        <v>6</v>
      </c>
      <c r="B43" s="13" t="s">
        <v>185</v>
      </c>
      <c r="C43" s="30">
        <v>9400000</v>
      </c>
      <c r="D43" s="30">
        <v>9400000</v>
      </c>
      <c r="E43" s="30"/>
      <c r="F43" s="30"/>
      <c r="G43" s="30"/>
      <c r="H43" s="30"/>
      <c r="I43" s="30"/>
      <c r="J43" s="30"/>
      <c r="K43" s="25">
        <f>C43+E43+G43+I43</f>
        <v>9400000</v>
      </c>
      <c r="L43" s="25">
        <f t="shared" si="10"/>
        <v>9400000</v>
      </c>
      <c r="M43" s="25">
        <f>C43+E43+G43+I43</f>
        <v>9400000</v>
      </c>
      <c r="N43" s="25">
        <v>0</v>
      </c>
      <c r="O43" s="25">
        <f t="shared" si="11"/>
        <v>9400000</v>
      </c>
      <c r="P43" s="25">
        <v>0</v>
      </c>
    </row>
    <row r="44" spans="1:16" s="10" customFormat="1" ht="28">
      <c r="A44" s="74">
        <v>7</v>
      </c>
      <c r="B44" s="13" t="s">
        <v>41</v>
      </c>
      <c r="C44" s="30"/>
      <c r="D44" s="30"/>
      <c r="E44" s="30"/>
      <c r="F44" s="30"/>
      <c r="G44" s="30"/>
      <c r="H44" s="30"/>
      <c r="I44" s="30"/>
      <c r="J44" s="30"/>
      <c r="K44" s="25">
        <f t="shared" si="12"/>
        <v>0</v>
      </c>
      <c r="L44" s="25">
        <f t="shared" si="10"/>
        <v>0</v>
      </c>
      <c r="M44" s="25">
        <f>C44+E44+G44+I44</f>
        <v>0</v>
      </c>
      <c r="N44" s="25">
        <v>0</v>
      </c>
      <c r="O44" s="25">
        <f t="shared" si="11"/>
        <v>0</v>
      </c>
      <c r="P44" s="25">
        <v>0</v>
      </c>
    </row>
    <row r="45" spans="1:16" s="10" customFormat="1" ht="33.75" customHeight="1">
      <c r="A45" s="74">
        <v>8</v>
      </c>
      <c r="B45" s="183" t="s">
        <v>186</v>
      </c>
      <c r="C45" s="30"/>
      <c r="D45" s="30">
        <v>768469</v>
      </c>
      <c r="E45" s="30"/>
      <c r="F45" s="30"/>
      <c r="G45" s="30"/>
      <c r="H45" s="30"/>
      <c r="I45" s="30"/>
      <c r="J45" s="30"/>
      <c r="K45" s="25">
        <f>C45+E45+G45+I45</f>
        <v>0</v>
      </c>
      <c r="L45" s="25">
        <f t="shared" si="10"/>
        <v>768469</v>
      </c>
      <c r="M45" s="25"/>
      <c r="N45" s="25"/>
      <c r="O45" s="25">
        <f t="shared" si="11"/>
        <v>768469</v>
      </c>
      <c r="P45" s="25"/>
    </row>
    <row r="46" spans="1:16" s="10" customFormat="1" ht="14.7">
      <c r="A46" s="74">
        <v>9</v>
      </c>
      <c r="B46" s="13" t="s">
        <v>201</v>
      </c>
      <c r="C46" s="30"/>
      <c r="D46" s="30">
        <v>2938600</v>
      </c>
      <c r="E46" s="30"/>
      <c r="F46" s="30"/>
      <c r="G46" s="30"/>
      <c r="H46" s="30"/>
      <c r="I46" s="30"/>
      <c r="J46" s="30"/>
      <c r="K46" s="25">
        <f t="shared" si="12"/>
        <v>0</v>
      </c>
      <c r="L46" s="25">
        <f t="shared" si="10"/>
        <v>2938600</v>
      </c>
      <c r="M46" s="25">
        <f>K46</f>
        <v>0</v>
      </c>
      <c r="N46" s="25"/>
      <c r="O46" s="25">
        <f t="shared" si="11"/>
        <v>2938600</v>
      </c>
      <c r="P46" s="25"/>
    </row>
    <row r="47" spans="1:16" s="10" customFormat="1" ht="28">
      <c r="A47" s="74">
        <v>10</v>
      </c>
      <c r="B47" s="13" t="s">
        <v>187</v>
      </c>
      <c r="C47" s="30">
        <v>61500000</v>
      </c>
      <c r="D47" s="30">
        <v>61500000</v>
      </c>
      <c r="E47" s="30"/>
      <c r="F47" s="30"/>
      <c r="G47" s="30"/>
      <c r="H47" s="30"/>
      <c r="I47" s="30"/>
      <c r="J47" s="30"/>
      <c r="K47" s="25">
        <f t="shared" si="12"/>
        <v>61500000</v>
      </c>
      <c r="L47" s="25">
        <f t="shared" si="10"/>
        <v>61500000</v>
      </c>
      <c r="M47" s="25">
        <v>0</v>
      </c>
      <c r="N47" s="25">
        <f>C47</f>
        <v>61500000</v>
      </c>
      <c r="O47" s="25">
        <f>F47+H47+J47</f>
        <v>0</v>
      </c>
      <c r="P47" s="25">
        <f>D47</f>
        <v>61500000</v>
      </c>
    </row>
    <row r="48" spans="1:16" s="15" customFormat="1" ht="29.4">
      <c r="A48" s="74">
        <v>11</v>
      </c>
      <c r="B48" s="11" t="s">
        <v>188</v>
      </c>
      <c r="C48" s="24">
        <v>2200000</v>
      </c>
      <c r="D48" s="24">
        <v>2200000</v>
      </c>
      <c r="E48" s="24"/>
      <c r="F48" s="24"/>
      <c r="G48" s="24"/>
      <c r="H48" s="24"/>
      <c r="I48" s="24"/>
      <c r="J48" s="24"/>
      <c r="K48" s="25">
        <f t="shared" si="12"/>
        <v>2200000</v>
      </c>
      <c r="L48" s="25">
        <f t="shared" si="10"/>
        <v>2200000</v>
      </c>
      <c r="M48" s="25">
        <f>C48+E48+G48+I48-N48</f>
        <v>2200000</v>
      </c>
      <c r="N48" s="25">
        <v>0</v>
      </c>
      <c r="O48" s="25">
        <f t="shared" si="11"/>
        <v>2200000</v>
      </c>
      <c r="P48" s="25">
        <v>0</v>
      </c>
    </row>
    <row r="49" spans="1:16" ht="29.4">
      <c r="A49" s="74">
        <v>12</v>
      </c>
      <c r="B49" s="11" t="s">
        <v>189</v>
      </c>
      <c r="C49" s="25">
        <f>SUM(C50:C51)</f>
        <v>42942596</v>
      </c>
      <c r="D49" s="25">
        <f t="shared" ref="D49:M49" si="14">SUM(D50:D51)</f>
        <v>46149754</v>
      </c>
      <c r="E49" s="25">
        <f t="shared" si="14"/>
        <v>0</v>
      </c>
      <c r="F49" s="25">
        <f t="shared" si="14"/>
        <v>0</v>
      </c>
      <c r="G49" s="25">
        <f t="shared" si="14"/>
        <v>0</v>
      </c>
      <c r="H49" s="25">
        <f t="shared" si="14"/>
        <v>0</v>
      </c>
      <c r="I49" s="25">
        <f t="shared" si="14"/>
        <v>0</v>
      </c>
      <c r="J49" s="25">
        <f t="shared" si="14"/>
        <v>0</v>
      </c>
      <c r="K49" s="25">
        <f t="shared" si="14"/>
        <v>42942596</v>
      </c>
      <c r="L49" s="25">
        <f t="shared" si="14"/>
        <v>46149754</v>
      </c>
      <c r="M49" s="25">
        <f t="shared" si="14"/>
        <v>42942596</v>
      </c>
      <c r="N49" s="25">
        <f>SUM(N50:N51)</f>
        <v>0</v>
      </c>
      <c r="O49" s="25">
        <f t="shared" si="11"/>
        <v>46149754</v>
      </c>
      <c r="P49" s="25">
        <v>0</v>
      </c>
    </row>
    <row r="50" spans="1:16" ht="14.7">
      <c r="A50" s="74">
        <v>13</v>
      </c>
      <c r="B50" s="13" t="s">
        <v>44</v>
      </c>
      <c r="C50" s="30">
        <v>42942596</v>
      </c>
      <c r="D50" s="30">
        <v>46149754</v>
      </c>
      <c r="E50" s="30"/>
      <c r="F50" s="30"/>
      <c r="G50" s="30"/>
      <c r="H50" s="30"/>
      <c r="I50" s="30"/>
      <c r="J50" s="30"/>
      <c r="K50" s="25">
        <f t="shared" si="12"/>
        <v>42942596</v>
      </c>
      <c r="L50" s="25">
        <f t="shared" si="10"/>
        <v>46149754</v>
      </c>
      <c r="M50" s="25">
        <f>C50+E50+G50+I50</f>
        <v>42942596</v>
      </c>
      <c r="N50" s="25">
        <v>0</v>
      </c>
      <c r="O50" s="25">
        <f t="shared" si="11"/>
        <v>46149754</v>
      </c>
      <c r="P50" s="25">
        <v>0</v>
      </c>
    </row>
    <row r="51" spans="1:16" ht="14.7">
      <c r="A51" s="74">
        <v>14</v>
      </c>
      <c r="B51" s="13" t="s">
        <v>45</v>
      </c>
      <c r="C51" s="30"/>
      <c r="D51" s="30"/>
      <c r="E51" s="30"/>
      <c r="F51" s="30"/>
      <c r="G51" s="30"/>
      <c r="H51" s="30"/>
      <c r="I51" s="30"/>
      <c r="J51" s="30"/>
      <c r="K51" s="25">
        <f t="shared" si="12"/>
        <v>0</v>
      </c>
      <c r="L51" s="25">
        <f t="shared" si="10"/>
        <v>0</v>
      </c>
      <c r="M51" s="25">
        <f>C51+E51+G51+I51</f>
        <v>0</v>
      </c>
      <c r="N51" s="25">
        <v>0</v>
      </c>
      <c r="O51" s="25">
        <f t="shared" si="11"/>
        <v>0</v>
      </c>
      <c r="P51" s="25">
        <v>0</v>
      </c>
    </row>
    <row r="52" spans="1:16" s="14" customFormat="1" ht="14.7">
      <c r="A52" s="74">
        <v>15</v>
      </c>
      <c r="B52" s="12" t="s">
        <v>46</v>
      </c>
      <c r="C52" s="29">
        <f t="shared" ref="C52:P52" si="15">C49+C42+C41+C40+C39+C38+C48</f>
        <v>677787101</v>
      </c>
      <c r="D52" s="29">
        <f t="shared" si="15"/>
        <v>709801562</v>
      </c>
      <c r="E52" s="29">
        <f t="shared" si="15"/>
        <v>121780026</v>
      </c>
      <c r="F52" s="29">
        <f t="shared" si="15"/>
        <v>124762159</v>
      </c>
      <c r="G52" s="29">
        <f t="shared" si="15"/>
        <v>395365582</v>
      </c>
      <c r="H52" s="29">
        <f t="shared" si="15"/>
        <v>443245728</v>
      </c>
      <c r="I52" s="29">
        <f t="shared" si="15"/>
        <v>212451217</v>
      </c>
      <c r="J52" s="29">
        <f t="shared" si="15"/>
        <v>212311255</v>
      </c>
      <c r="K52" s="29">
        <f t="shared" si="15"/>
        <v>1407383926</v>
      </c>
      <c r="L52" s="29">
        <f t="shared" si="15"/>
        <v>1490120704</v>
      </c>
      <c r="M52" s="29">
        <f t="shared" si="15"/>
        <v>1345883926</v>
      </c>
      <c r="N52" s="29">
        <f t="shared" si="15"/>
        <v>61500000</v>
      </c>
      <c r="O52" s="29">
        <f t="shared" si="15"/>
        <v>1428620704</v>
      </c>
      <c r="P52" s="29">
        <f t="shared" si="15"/>
        <v>61500000</v>
      </c>
    </row>
    <row r="53" spans="1:16" ht="14.7">
      <c r="A53" s="74">
        <v>16</v>
      </c>
      <c r="B53" s="11" t="s">
        <v>190</v>
      </c>
      <c r="C53" s="25">
        <f>577892455+39603685</f>
        <v>617496140</v>
      </c>
      <c r="D53" s="25">
        <v>158805766</v>
      </c>
      <c r="E53" s="25"/>
      <c r="F53" s="25"/>
      <c r="G53" s="25">
        <v>10512762</v>
      </c>
      <c r="H53" s="25">
        <v>16765886</v>
      </c>
      <c r="I53" s="25">
        <v>5750000</v>
      </c>
      <c r="J53" s="25">
        <v>7429170</v>
      </c>
      <c r="K53" s="25">
        <f>C53+E53+G53+I53</f>
        <v>633758902</v>
      </c>
      <c r="L53" s="25">
        <f>D53+F53+H53+J53</f>
        <v>183000822</v>
      </c>
      <c r="M53" s="25">
        <f>K53</f>
        <v>633758902</v>
      </c>
      <c r="N53" s="25"/>
      <c r="O53" s="25">
        <f t="shared" ref="O53:O58" si="16">D53+F53+H53+J53</f>
        <v>183000822</v>
      </c>
      <c r="P53" s="25">
        <v>0</v>
      </c>
    </row>
    <row r="54" spans="1:16" ht="14.7">
      <c r="A54" s="74">
        <v>17</v>
      </c>
      <c r="B54" s="11" t="s">
        <v>191</v>
      </c>
      <c r="C54" s="25">
        <f>38100000</f>
        <v>38100000</v>
      </c>
      <c r="D54" s="25">
        <v>56240000</v>
      </c>
      <c r="E54" s="25"/>
      <c r="F54" s="25"/>
      <c r="G54" s="25"/>
      <c r="H54" s="25"/>
      <c r="I54" s="25"/>
      <c r="J54" s="25"/>
      <c r="K54" s="25">
        <f t="shared" si="12"/>
        <v>38100000</v>
      </c>
      <c r="L54" s="25">
        <f t="shared" si="10"/>
        <v>56240000</v>
      </c>
      <c r="M54" s="25">
        <f>C54</f>
        <v>38100000</v>
      </c>
      <c r="N54" s="25">
        <v>0</v>
      </c>
      <c r="O54" s="25">
        <f t="shared" si="16"/>
        <v>56240000</v>
      </c>
      <c r="P54" s="25">
        <v>0</v>
      </c>
    </row>
    <row r="55" spans="1:16" ht="14.7">
      <c r="A55" s="74">
        <v>18</v>
      </c>
      <c r="B55" s="11" t="s">
        <v>192</v>
      </c>
      <c r="C55" s="25">
        <f t="shared" ref="C55:N55" si="17">SUM(C56:C58)</f>
        <v>0</v>
      </c>
      <c r="D55" s="25">
        <f t="shared" si="17"/>
        <v>2000000</v>
      </c>
      <c r="E55" s="25">
        <f t="shared" si="17"/>
        <v>0</v>
      </c>
      <c r="F55" s="25">
        <f t="shared" si="17"/>
        <v>0</v>
      </c>
      <c r="G55" s="25">
        <f t="shared" si="17"/>
        <v>0</v>
      </c>
      <c r="H55" s="25">
        <f t="shared" si="17"/>
        <v>0</v>
      </c>
      <c r="I55" s="25">
        <f t="shared" si="17"/>
        <v>0</v>
      </c>
      <c r="J55" s="25">
        <f t="shared" si="17"/>
        <v>0</v>
      </c>
      <c r="K55" s="25">
        <f t="shared" si="17"/>
        <v>0</v>
      </c>
      <c r="L55" s="25">
        <f t="shared" si="17"/>
        <v>2000000</v>
      </c>
      <c r="M55" s="25">
        <f t="shared" si="17"/>
        <v>0</v>
      </c>
      <c r="N55" s="25">
        <f t="shared" si="17"/>
        <v>0</v>
      </c>
      <c r="O55" s="25">
        <f t="shared" si="16"/>
        <v>2000000</v>
      </c>
      <c r="P55" s="25">
        <v>0</v>
      </c>
    </row>
    <row r="56" spans="1:16" ht="14.7">
      <c r="A56" s="74">
        <v>19</v>
      </c>
      <c r="B56" s="16" t="s">
        <v>49</v>
      </c>
      <c r="C56" s="30"/>
      <c r="D56" s="30"/>
      <c r="E56" s="30"/>
      <c r="F56" s="30"/>
      <c r="G56" s="30"/>
      <c r="H56" s="30"/>
      <c r="I56" s="30"/>
      <c r="J56" s="30"/>
      <c r="K56" s="25">
        <f t="shared" si="12"/>
        <v>0</v>
      </c>
      <c r="L56" s="25">
        <f t="shared" si="10"/>
        <v>0</v>
      </c>
      <c r="M56" s="25">
        <f>C56+E56+G56+I56</f>
        <v>0</v>
      </c>
      <c r="N56" s="25">
        <v>0</v>
      </c>
      <c r="O56" s="25">
        <f t="shared" si="16"/>
        <v>0</v>
      </c>
      <c r="P56" s="25">
        <v>0</v>
      </c>
    </row>
    <row r="57" spans="1:16" ht="28">
      <c r="A57" s="74">
        <v>20</v>
      </c>
      <c r="B57" s="16" t="s">
        <v>293</v>
      </c>
      <c r="C57" s="30"/>
      <c r="D57" s="30">
        <v>2000000</v>
      </c>
      <c r="E57" s="30"/>
      <c r="F57" s="30"/>
      <c r="G57" s="30"/>
      <c r="H57" s="30"/>
      <c r="I57" s="30"/>
      <c r="J57" s="30"/>
      <c r="K57" s="25">
        <f t="shared" si="12"/>
        <v>0</v>
      </c>
      <c r="L57" s="25">
        <f t="shared" si="10"/>
        <v>2000000</v>
      </c>
      <c r="M57" s="25">
        <f>C57+E57+G57+I57</f>
        <v>0</v>
      </c>
      <c r="N57" s="25">
        <v>0</v>
      </c>
      <c r="O57" s="25">
        <f t="shared" si="16"/>
        <v>2000000</v>
      </c>
      <c r="P57" s="25">
        <v>0</v>
      </c>
    </row>
    <row r="58" spans="1:16" ht="28">
      <c r="A58" s="74">
        <v>21</v>
      </c>
      <c r="B58" s="16" t="s">
        <v>51</v>
      </c>
      <c r="C58" s="30"/>
      <c r="D58" s="30"/>
      <c r="E58" s="30"/>
      <c r="F58" s="30"/>
      <c r="G58" s="30"/>
      <c r="H58" s="30"/>
      <c r="I58" s="30"/>
      <c r="J58" s="30"/>
      <c r="K58" s="25">
        <f t="shared" si="12"/>
        <v>0</v>
      </c>
      <c r="L58" s="25">
        <f t="shared" si="10"/>
        <v>0</v>
      </c>
      <c r="M58" s="25">
        <f>C58+E58+G58+I58</f>
        <v>0</v>
      </c>
      <c r="N58" s="25">
        <v>0</v>
      </c>
      <c r="O58" s="25">
        <f t="shared" si="16"/>
        <v>0</v>
      </c>
      <c r="P58" s="25">
        <v>0</v>
      </c>
    </row>
    <row r="59" spans="1:16" s="14" customFormat="1" ht="14.7">
      <c r="A59" s="74">
        <v>22</v>
      </c>
      <c r="B59" s="12" t="s">
        <v>52</v>
      </c>
      <c r="C59" s="29">
        <f>C53+C54+C55</f>
        <v>655596140</v>
      </c>
      <c r="D59" s="29">
        <f>D53+D54+D55</f>
        <v>217045766</v>
      </c>
      <c r="E59" s="29">
        <f t="shared" ref="E59:P59" si="18">E53+E54+E55</f>
        <v>0</v>
      </c>
      <c r="F59" s="29">
        <f t="shared" si="18"/>
        <v>0</v>
      </c>
      <c r="G59" s="29">
        <f t="shared" si="18"/>
        <v>10512762</v>
      </c>
      <c r="H59" s="29">
        <f t="shared" si="18"/>
        <v>16765886</v>
      </c>
      <c r="I59" s="29">
        <f>I53+I54+I55</f>
        <v>5750000</v>
      </c>
      <c r="J59" s="29">
        <f t="shared" si="18"/>
        <v>7429170</v>
      </c>
      <c r="K59" s="29">
        <f t="shared" si="18"/>
        <v>671858902</v>
      </c>
      <c r="L59" s="29">
        <f t="shared" si="18"/>
        <v>241240822</v>
      </c>
      <c r="M59" s="29">
        <f t="shared" si="18"/>
        <v>671858902</v>
      </c>
      <c r="N59" s="29">
        <f t="shared" si="18"/>
        <v>0</v>
      </c>
      <c r="O59" s="29">
        <f t="shared" si="18"/>
        <v>241240822</v>
      </c>
      <c r="P59" s="29">
        <f t="shared" si="18"/>
        <v>0</v>
      </c>
    </row>
    <row r="60" spans="1:16" ht="14.7">
      <c r="A60" s="74">
        <v>23</v>
      </c>
      <c r="B60" s="5" t="s">
        <v>53</v>
      </c>
      <c r="C60" s="25">
        <f>C59+C52-C41</f>
        <v>991088472</v>
      </c>
      <c r="D60" s="25">
        <f>D59+D52-D41</f>
        <v>604992368</v>
      </c>
      <c r="E60" s="25">
        <f>E59+E52</f>
        <v>121780026</v>
      </c>
      <c r="F60" s="25">
        <f t="shared" ref="F60:P60" si="19">F59+F52</f>
        <v>124762159</v>
      </c>
      <c r="G60" s="25">
        <f t="shared" si="19"/>
        <v>405878344</v>
      </c>
      <c r="H60" s="25">
        <f t="shared" si="19"/>
        <v>460011614</v>
      </c>
      <c r="I60" s="25">
        <f t="shared" si="19"/>
        <v>218201217</v>
      </c>
      <c r="J60" s="25">
        <f t="shared" si="19"/>
        <v>219740425</v>
      </c>
      <c r="K60" s="25">
        <f>K59+K52-K41</f>
        <v>1736948059</v>
      </c>
      <c r="L60" s="25">
        <f>L59+L52-D41</f>
        <v>1409506566</v>
      </c>
      <c r="M60" s="25">
        <f>M59+M52-M41</f>
        <v>1675448059</v>
      </c>
      <c r="N60" s="25">
        <f t="shared" si="19"/>
        <v>61500000</v>
      </c>
      <c r="O60" s="25">
        <f>O59+O52-O41</f>
        <v>1348006566</v>
      </c>
      <c r="P60" s="25">
        <f t="shared" si="19"/>
        <v>61500000</v>
      </c>
    </row>
    <row r="61" spans="1:16" ht="14.7">
      <c r="A61" s="74">
        <v>24</v>
      </c>
      <c r="B61" s="8" t="s">
        <v>232</v>
      </c>
      <c r="C61" s="25">
        <v>0</v>
      </c>
      <c r="D61" s="25">
        <v>191620000</v>
      </c>
      <c r="E61" s="25">
        <v>0</v>
      </c>
      <c r="F61" s="25">
        <v>0</v>
      </c>
      <c r="G61" s="25">
        <v>0</v>
      </c>
      <c r="H61" s="25">
        <v>0</v>
      </c>
      <c r="I61" s="25"/>
      <c r="J61" s="25"/>
      <c r="K61" s="25">
        <f t="shared" ref="K61" si="20">C61+E61+G61+I61</f>
        <v>0</v>
      </c>
      <c r="L61" s="25">
        <f t="shared" ref="L61" si="21">D61+F61+H61+J61</f>
        <v>191620000</v>
      </c>
      <c r="M61" s="25">
        <f>C61+E61+G61+I61</f>
        <v>0</v>
      </c>
      <c r="N61" s="25">
        <v>0</v>
      </c>
      <c r="O61" s="25">
        <f>D61</f>
        <v>191620000</v>
      </c>
      <c r="P61" s="25">
        <v>0</v>
      </c>
    </row>
    <row r="62" spans="1:16" ht="14.7">
      <c r="A62" s="74">
        <v>25</v>
      </c>
      <c r="B62" s="8" t="s">
        <v>231</v>
      </c>
      <c r="C62" s="25">
        <v>8747578</v>
      </c>
      <c r="D62" s="25">
        <v>8747578</v>
      </c>
      <c r="E62" s="25">
        <v>0</v>
      </c>
      <c r="F62" s="25">
        <v>0</v>
      </c>
      <c r="G62" s="25">
        <v>0</v>
      </c>
      <c r="H62" s="25">
        <v>0</v>
      </c>
      <c r="I62" s="25"/>
      <c r="J62" s="25"/>
      <c r="K62" s="25">
        <f t="shared" si="12"/>
        <v>8747578</v>
      </c>
      <c r="L62" s="25">
        <f t="shared" si="10"/>
        <v>8747578</v>
      </c>
      <c r="M62" s="25">
        <f>C62+E62+G62+I62</f>
        <v>8747578</v>
      </c>
      <c r="N62" s="25">
        <v>0</v>
      </c>
      <c r="O62" s="25">
        <f>D62</f>
        <v>8747578</v>
      </c>
      <c r="P62" s="25">
        <v>0</v>
      </c>
    </row>
    <row r="63" spans="1:16" ht="14.7">
      <c r="A63" s="74">
        <v>26</v>
      </c>
      <c r="B63" s="22" t="s">
        <v>54</v>
      </c>
      <c r="C63" s="31">
        <f>SUM(C60:C62)</f>
        <v>999836050</v>
      </c>
      <c r="D63" s="31">
        <f t="shared" ref="D63:I63" si="22">SUM(D60:D62)</f>
        <v>805359946</v>
      </c>
      <c r="E63" s="31">
        <f t="shared" si="22"/>
        <v>121780026</v>
      </c>
      <c r="F63" s="31">
        <f t="shared" si="22"/>
        <v>124762159</v>
      </c>
      <c r="G63" s="31">
        <f t="shared" si="22"/>
        <v>405878344</v>
      </c>
      <c r="H63" s="31">
        <f t="shared" si="22"/>
        <v>460011614</v>
      </c>
      <c r="I63" s="31">
        <f t="shared" si="22"/>
        <v>218201217</v>
      </c>
      <c r="J63" s="31">
        <f>SUM(J60:J62)</f>
        <v>219740425</v>
      </c>
      <c r="K63" s="32">
        <f t="shared" ref="K63" si="23">K60+K62</f>
        <v>1745695637</v>
      </c>
      <c r="L63" s="32">
        <f>L60+L62+L61</f>
        <v>1609874144</v>
      </c>
      <c r="M63" s="34">
        <f t="shared" ref="M63:P63" si="24">M60+M62+M61</f>
        <v>1684195637</v>
      </c>
      <c r="N63" s="34">
        <f t="shared" si="24"/>
        <v>61500000</v>
      </c>
      <c r="O63" s="35">
        <f t="shared" si="24"/>
        <v>1548374144</v>
      </c>
      <c r="P63" s="35">
        <f t="shared" si="24"/>
        <v>61500000</v>
      </c>
    </row>
    <row r="64" spans="1:16" ht="15.4">
      <c r="B64" s="17"/>
      <c r="I64" s="33"/>
      <c r="J64" s="33"/>
    </row>
    <row r="65" spans="1:16" ht="15.4">
      <c r="B65" s="17"/>
      <c r="I65" s="33"/>
      <c r="J65" s="33"/>
    </row>
    <row r="66" spans="1:16" ht="61.55">
      <c r="B66" s="17" t="s">
        <v>55</v>
      </c>
    </row>
    <row r="67" spans="1:16" ht="15.4">
      <c r="B67" s="17"/>
      <c r="P67" s="194" t="s">
        <v>200</v>
      </c>
    </row>
    <row r="68" spans="1:16" ht="15.4">
      <c r="B68" s="17"/>
    </row>
    <row r="69" spans="1:16" ht="15.4">
      <c r="B69" s="17"/>
    </row>
    <row r="70" spans="1:16" ht="15.4">
      <c r="B70" s="17"/>
    </row>
    <row r="71" spans="1:16" ht="15.4">
      <c r="B71" s="17"/>
    </row>
    <row r="72" spans="1:16" ht="15.4">
      <c r="B72" s="17"/>
    </row>
    <row r="73" spans="1:16" s="3" customFormat="1" ht="15.4">
      <c r="A73" s="74"/>
      <c r="B73" s="17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</row>
    <row r="74" spans="1:16" s="3" customFormat="1" ht="15.4">
      <c r="A74" s="74"/>
      <c r="B74" s="17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</row>
    <row r="75" spans="1:16" s="3" customFormat="1" ht="15.4">
      <c r="A75" s="74"/>
      <c r="B75" s="17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</row>
    <row r="76" spans="1:16" s="3" customFormat="1" ht="15.4">
      <c r="A76" s="74"/>
      <c r="B76" s="17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</row>
    <row r="77" spans="1:16" s="3" customFormat="1" ht="15.4">
      <c r="A77" s="74"/>
      <c r="B77" s="17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</row>
    <row r="78" spans="1:16" s="3" customFormat="1" ht="15.4">
      <c r="A78" s="74"/>
      <c r="B78" s="17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</row>
    <row r="79" spans="1:16" s="3" customFormat="1" ht="15.4">
      <c r="A79" s="74"/>
      <c r="B79" s="17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</row>
    <row r="80" spans="1:16" s="3" customFormat="1" ht="15.4">
      <c r="A80" s="74"/>
      <c r="B80" s="17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</row>
    <row r="81" spans="1:16" s="3" customFormat="1" ht="15.4">
      <c r="A81" s="74"/>
      <c r="B81" s="17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</row>
    <row r="82" spans="1:16" s="3" customFormat="1" ht="15.4">
      <c r="A82" s="74"/>
      <c r="B82" s="17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</row>
    <row r="83" spans="1:16" s="3" customFormat="1" ht="15.4">
      <c r="A83" s="74"/>
      <c r="B83" s="17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</row>
    <row r="84" spans="1:16" s="3" customFormat="1" ht="15.4">
      <c r="A84" s="74"/>
      <c r="B84" s="17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</row>
    <row r="85" spans="1:16" s="3" customFormat="1" ht="15.4">
      <c r="A85" s="74"/>
      <c r="B85" s="17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</row>
    <row r="86" spans="1:16" s="3" customFormat="1" ht="15.4">
      <c r="A86" s="74"/>
      <c r="B86" s="17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</row>
    <row r="87" spans="1:16" s="3" customFormat="1" ht="15.4">
      <c r="A87" s="74"/>
      <c r="B87" s="17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</row>
    <row r="88" spans="1:16" s="3" customFormat="1" ht="15.4">
      <c r="A88" s="74"/>
      <c r="B88" s="17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</row>
    <row r="89" spans="1:16" s="3" customFormat="1" ht="15.4">
      <c r="A89" s="74"/>
      <c r="B89" s="17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</row>
    <row r="90" spans="1:16" s="3" customFormat="1" ht="15.4">
      <c r="A90" s="74"/>
      <c r="B90" s="17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</row>
    <row r="91" spans="1:16" s="3" customFormat="1" ht="15.4">
      <c r="A91" s="74"/>
      <c r="B91" s="17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</row>
    <row r="92" spans="1:16" s="3" customFormat="1" ht="15.4">
      <c r="A92" s="74"/>
      <c r="B92" s="17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</row>
    <row r="93" spans="1:16" s="3" customFormat="1" ht="15.4">
      <c r="A93" s="74"/>
      <c r="B93" s="17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</row>
    <row r="94" spans="1:16" s="3" customFormat="1" ht="15.4">
      <c r="A94" s="74"/>
      <c r="B94" s="17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</row>
    <row r="95" spans="1:16" s="3" customFormat="1" ht="15.4">
      <c r="A95" s="74"/>
      <c r="B95" s="17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</row>
    <row r="96" spans="1:16" s="3" customFormat="1" ht="15.4">
      <c r="A96" s="74"/>
      <c r="B96" s="17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</row>
    <row r="97" spans="1:16" s="3" customFormat="1" ht="15.4">
      <c r="A97" s="74"/>
      <c r="B97" s="17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</row>
    <row r="98" spans="1:16" s="3" customFormat="1" ht="15.4">
      <c r="A98" s="74"/>
      <c r="B98" s="17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</row>
    <row r="99" spans="1:16" s="3" customFormat="1" ht="15.4">
      <c r="A99" s="74"/>
      <c r="B99" s="17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</row>
    <row r="100" spans="1:16" s="3" customFormat="1" ht="15.4">
      <c r="A100" s="74"/>
      <c r="B100" s="17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</row>
    <row r="101" spans="1:16" s="3" customFormat="1" ht="15.4">
      <c r="A101" s="74"/>
      <c r="B101" s="17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</row>
    <row r="102" spans="1:16" s="3" customFormat="1" ht="15.4">
      <c r="A102" s="74"/>
      <c r="B102" s="17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</row>
    <row r="103" spans="1:16" s="3" customFormat="1" ht="15.4">
      <c r="A103" s="74"/>
      <c r="B103" s="17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</row>
    <row r="104" spans="1:16" s="3" customFormat="1" ht="15.4">
      <c r="A104" s="74"/>
      <c r="B104" s="17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</row>
    <row r="105" spans="1:16" s="3" customFormat="1" ht="15.4">
      <c r="A105" s="74"/>
      <c r="B105" s="17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</row>
    <row r="106" spans="1:16" s="3" customFormat="1" ht="15.4">
      <c r="A106" s="74"/>
      <c r="B106" s="17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</row>
    <row r="107" spans="1:16" s="3" customFormat="1" ht="15.4">
      <c r="A107" s="74"/>
      <c r="B107" s="17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</row>
    <row r="108" spans="1:16" s="3" customFormat="1" ht="15.4">
      <c r="A108" s="74"/>
      <c r="B108" s="17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</row>
    <row r="109" spans="1:16" s="3" customFormat="1" ht="15.4">
      <c r="A109" s="74"/>
      <c r="B109" s="17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</row>
    <row r="110" spans="1:16" s="3" customFormat="1" ht="15.4">
      <c r="A110" s="74"/>
      <c r="B110" s="17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</row>
    <row r="111" spans="1:16" s="3" customFormat="1" ht="15.4">
      <c r="A111" s="74"/>
      <c r="B111" s="17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</row>
    <row r="112" spans="1:16" s="3" customFormat="1" ht="15.4">
      <c r="A112" s="74"/>
      <c r="B112" s="17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</row>
    <row r="113" spans="1:16" s="3" customFormat="1" ht="15.4">
      <c r="A113" s="74"/>
      <c r="B113" s="17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</row>
    <row r="114" spans="1:16" s="3" customFormat="1" ht="15.4">
      <c r="A114" s="74"/>
      <c r="B114" s="17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</row>
    <row r="115" spans="1:16" s="3" customFormat="1" ht="15.4">
      <c r="A115" s="74"/>
      <c r="B115" s="17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</row>
    <row r="116" spans="1:16" s="3" customFormat="1" ht="15.4">
      <c r="A116" s="74"/>
      <c r="B116" s="17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</row>
    <row r="117" spans="1:16" s="3" customFormat="1" ht="15.4">
      <c r="A117" s="74"/>
      <c r="B117" s="17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s="3" customFormat="1" ht="15.4">
      <c r="A118" s="74"/>
      <c r="B118" s="17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</row>
    <row r="119" spans="1:16" s="3" customFormat="1" ht="15.4">
      <c r="A119" s="74"/>
      <c r="B119" s="17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</row>
    <row r="120" spans="1:16" s="3" customFormat="1" ht="15.4">
      <c r="A120" s="74"/>
      <c r="B120" s="17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</row>
    <row r="121" spans="1:16" s="3" customFormat="1" ht="15.4">
      <c r="A121" s="74"/>
      <c r="B121" s="17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</row>
  </sheetData>
  <mergeCells count="1">
    <mergeCell ref="C2:P2"/>
  </mergeCells>
  <phoneticPr fontId="5" type="noConversion"/>
  <printOptions horizontalCentered="1" verticalCentered="1"/>
  <pageMargins left="0.78740157480314965" right="0.59055118110236227" top="0.94488188976377963" bottom="0.78740157480314965" header="0.51181102362204722" footer="0.51181102362204722"/>
  <pageSetup paperSize="9" scale="40" fitToHeight="2" orientation="landscape" r:id="rId1"/>
  <headerFooter alignWithMargins="0"/>
  <rowBreaks count="1" manualBreakCount="1">
    <brk id="3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2"/>
  <sheetViews>
    <sheetView view="pageBreakPreview" zoomScaleNormal="75" zoomScaleSheetLayoutView="100" workbookViewId="0">
      <selection activeCell="E2" sqref="E2:H2"/>
    </sheetView>
  </sheetViews>
  <sheetFormatPr defaultColWidth="9.125" defaultRowHeight="12.6"/>
  <cols>
    <col min="1" max="1" width="9.125" style="1"/>
    <col min="2" max="2" width="51.125" style="1" customWidth="1"/>
    <col min="3" max="4" width="18.125" style="1" customWidth="1"/>
    <col min="5" max="5" width="19" style="1" customWidth="1"/>
    <col min="6" max="6" width="17.375" style="1" customWidth="1"/>
    <col min="7" max="7" width="19" style="1" customWidth="1"/>
    <col min="8" max="8" width="17.375" style="1" customWidth="1"/>
    <col min="9" max="16384" width="9.125" style="1"/>
  </cols>
  <sheetData>
    <row r="1" spans="1:19">
      <c r="B1" s="199" t="s">
        <v>294</v>
      </c>
      <c r="C1" s="199"/>
      <c r="D1" s="199"/>
      <c r="E1" s="199"/>
      <c r="F1" s="199"/>
      <c r="G1" s="199"/>
      <c r="H1" s="199"/>
      <c r="I1" s="199"/>
      <c r="J1" s="199"/>
    </row>
    <row r="2" spans="1:19" ht="20.3">
      <c r="B2" s="176" t="s">
        <v>250</v>
      </c>
      <c r="E2" s="200" t="s">
        <v>312</v>
      </c>
      <c r="F2" s="200"/>
      <c r="G2" s="200"/>
      <c r="H2" s="200"/>
    </row>
    <row r="3" spans="1:19">
      <c r="H3" s="1" t="s">
        <v>72</v>
      </c>
    </row>
    <row r="4" spans="1:19" ht="50.35">
      <c r="B4" s="38" t="s">
        <v>0</v>
      </c>
      <c r="C4" s="39" t="s">
        <v>1</v>
      </c>
      <c r="D4" s="39" t="s">
        <v>68</v>
      </c>
      <c r="E4" s="39" t="s">
        <v>61</v>
      </c>
      <c r="F4" s="39" t="s">
        <v>62</v>
      </c>
      <c r="G4" s="39" t="s">
        <v>64</v>
      </c>
      <c r="H4" s="39" t="s">
        <v>65</v>
      </c>
    </row>
    <row r="5" spans="1:19" ht="14">
      <c r="B5" s="40" t="s">
        <v>5</v>
      </c>
      <c r="C5" s="41" t="s">
        <v>6</v>
      </c>
      <c r="D5" s="41" t="s">
        <v>7</v>
      </c>
      <c r="E5" s="41" t="s">
        <v>8</v>
      </c>
      <c r="F5" s="41" t="s">
        <v>70</v>
      </c>
      <c r="G5" s="41" t="s">
        <v>10</v>
      </c>
      <c r="H5" s="41" t="s">
        <v>11</v>
      </c>
    </row>
    <row r="6" spans="1:19" ht="16.8">
      <c r="A6" s="1">
        <v>1</v>
      </c>
      <c r="B6" s="42" t="s">
        <v>235</v>
      </c>
      <c r="C6" s="43">
        <v>125000000</v>
      </c>
      <c r="D6" s="43">
        <v>125000000</v>
      </c>
      <c r="E6" s="43">
        <f>C6</f>
        <v>125000000</v>
      </c>
      <c r="F6" s="43"/>
      <c r="G6" s="43">
        <f>D6</f>
        <v>125000000</v>
      </c>
      <c r="H6" s="43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.8">
      <c r="A7" s="1">
        <v>2</v>
      </c>
      <c r="B7" s="42" t="s">
        <v>236</v>
      </c>
      <c r="C7" s="43">
        <v>65000000</v>
      </c>
      <c r="D7" s="43">
        <v>65000000</v>
      </c>
      <c r="E7" s="43">
        <f t="shared" ref="E7:E10" si="0">C7</f>
        <v>65000000</v>
      </c>
      <c r="F7" s="43"/>
      <c r="G7" s="43">
        <f t="shared" ref="G7:G10" si="1">D7</f>
        <v>65000000</v>
      </c>
      <c r="H7" s="43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8">
      <c r="A8" s="1">
        <v>3</v>
      </c>
      <c r="B8" s="42" t="s">
        <v>237</v>
      </c>
      <c r="C8" s="43">
        <v>90000000</v>
      </c>
      <c r="D8" s="43">
        <v>90000000</v>
      </c>
      <c r="E8" s="43">
        <f t="shared" si="0"/>
        <v>90000000</v>
      </c>
      <c r="F8" s="43"/>
      <c r="G8" s="43">
        <f t="shared" si="1"/>
        <v>90000000</v>
      </c>
      <c r="H8" s="43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6.8">
      <c r="A9" s="1">
        <v>4</v>
      </c>
      <c r="B9" s="42" t="s">
        <v>238</v>
      </c>
      <c r="C9" s="43">
        <v>45000000</v>
      </c>
      <c r="D9" s="43">
        <v>45000000</v>
      </c>
      <c r="E9" s="43">
        <f t="shared" si="0"/>
        <v>45000000</v>
      </c>
      <c r="F9" s="43"/>
      <c r="G9" s="43">
        <f t="shared" si="1"/>
        <v>45000000</v>
      </c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7.3" customHeight="1">
      <c r="A10" s="1">
        <v>5</v>
      </c>
      <c r="B10" s="42" t="s">
        <v>239</v>
      </c>
      <c r="C10" s="43">
        <v>4000000</v>
      </c>
      <c r="D10" s="43">
        <v>4000000</v>
      </c>
      <c r="E10" s="43">
        <f t="shared" si="0"/>
        <v>4000000</v>
      </c>
      <c r="F10" s="43"/>
      <c r="G10" s="43">
        <f t="shared" si="1"/>
        <v>4000000</v>
      </c>
      <c r="H10" s="4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4">
      <c r="A11" s="1">
        <v>6</v>
      </c>
      <c r="B11" s="44" t="s">
        <v>69</v>
      </c>
      <c r="C11" s="45">
        <f>SUM(C6:C10)</f>
        <v>329000000</v>
      </c>
      <c r="D11" s="45">
        <f>SUM(D6:D10)</f>
        <v>329000000</v>
      </c>
      <c r="E11" s="45">
        <f t="shared" ref="E11:H11" si="2">SUM(E6:E10)</f>
        <v>329000000</v>
      </c>
      <c r="F11" s="45">
        <f t="shared" si="2"/>
        <v>0</v>
      </c>
      <c r="G11" s="45">
        <f t="shared" si="2"/>
        <v>329000000</v>
      </c>
      <c r="H11" s="45">
        <f t="shared" si="2"/>
        <v>0</v>
      </c>
    </row>
    <row r="12" spans="1:19">
      <c r="I12" s="195" t="s">
        <v>200</v>
      </c>
    </row>
  </sheetData>
  <mergeCells count="2">
    <mergeCell ref="E2:H2"/>
    <mergeCell ref="B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B31"/>
  <sheetViews>
    <sheetView view="pageBreakPreview" zoomScale="75" zoomScaleNormal="75" zoomScaleSheetLayoutView="75" workbookViewId="0">
      <selection activeCell="H5" sqref="H5"/>
    </sheetView>
  </sheetViews>
  <sheetFormatPr defaultColWidth="9.125" defaultRowHeight="12.6"/>
  <cols>
    <col min="1" max="1" width="9.125" style="1" customWidth="1"/>
    <col min="2" max="2" width="71.375" style="1" customWidth="1"/>
    <col min="3" max="3" width="18.875" style="1" customWidth="1"/>
    <col min="4" max="6" width="19.25" style="1" customWidth="1"/>
    <col min="7" max="7" width="21.875" style="1" customWidth="1"/>
    <col min="8" max="8" width="21" style="1" customWidth="1"/>
    <col min="9" max="9" width="19.75" style="1" customWidth="1"/>
    <col min="10" max="10" width="21" style="1" customWidth="1"/>
    <col min="11" max="16384" width="9.125" style="1"/>
  </cols>
  <sheetData>
    <row r="3" spans="1:28">
      <c r="A3" s="201" t="s">
        <v>295</v>
      </c>
      <c r="B3" s="201"/>
      <c r="C3" s="201"/>
      <c r="D3" s="201"/>
      <c r="E3" s="201"/>
      <c r="F3" s="201"/>
      <c r="G3" s="201"/>
      <c r="H3" s="201"/>
      <c r="I3" s="201"/>
      <c r="J3" s="201"/>
    </row>
    <row r="4" spans="1:28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28">
      <c r="A5" s="36"/>
      <c r="B5" s="36"/>
      <c r="C5" s="36"/>
      <c r="D5" s="36"/>
      <c r="E5" s="36"/>
      <c r="F5" s="36"/>
      <c r="G5" s="36"/>
      <c r="H5" s="36" t="s">
        <v>313</v>
      </c>
      <c r="I5" s="36"/>
      <c r="J5" s="36"/>
    </row>
    <row r="6" spans="1:28" ht="27.3">
      <c r="B6" s="179" t="s">
        <v>251</v>
      </c>
      <c r="G6" s="202"/>
      <c r="H6" s="202"/>
      <c r="I6" s="202"/>
      <c r="J6" s="202"/>
    </row>
    <row r="7" spans="1:28">
      <c r="I7" s="1" t="s">
        <v>72</v>
      </c>
    </row>
    <row r="8" spans="1:28" ht="58.75">
      <c r="B8" s="47" t="s">
        <v>0</v>
      </c>
      <c r="C8" s="41" t="s">
        <v>1</v>
      </c>
      <c r="D8" s="41" t="s">
        <v>57</v>
      </c>
      <c r="E8" s="41" t="s">
        <v>196</v>
      </c>
      <c r="F8" s="41" t="s">
        <v>197</v>
      </c>
      <c r="G8" s="4" t="s">
        <v>61</v>
      </c>
      <c r="H8" s="4" t="s">
        <v>62</v>
      </c>
      <c r="I8" s="4" t="s">
        <v>64</v>
      </c>
      <c r="J8" s="4" t="s">
        <v>65</v>
      </c>
    </row>
    <row r="9" spans="1:28" ht="14">
      <c r="B9" s="41" t="s">
        <v>5</v>
      </c>
      <c r="C9" s="41" t="s">
        <v>6</v>
      </c>
      <c r="D9" s="41" t="s">
        <v>7</v>
      </c>
      <c r="E9" s="41" t="s">
        <v>8</v>
      </c>
      <c r="F9" s="41" t="s">
        <v>70</v>
      </c>
      <c r="G9" s="41" t="s">
        <v>10</v>
      </c>
      <c r="H9" s="41" t="s">
        <v>11</v>
      </c>
      <c r="I9" s="41" t="s">
        <v>12</v>
      </c>
      <c r="J9" s="41" t="s">
        <v>13</v>
      </c>
    </row>
    <row r="10" spans="1:28" ht="16.8">
      <c r="A10" s="1">
        <v>1</v>
      </c>
      <c r="B10" s="59" t="s">
        <v>252</v>
      </c>
      <c r="C10" s="48">
        <v>132000</v>
      </c>
      <c r="D10" s="48">
        <v>132000</v>
      </c>
      <c r="E10" s="48"/>
      <c r="F10" s="48"/>
      <c r="G10" s="49">
        <f t="shared" ref="G10:G14" si="0">C10</f>
        <v>132000</v>
      </c>
      <c r="H10" s="49"/>
      <c r="I10" s="49">
        <f t="shared" ref="I10:I14" si="1">D10+F10</f>
        <v>132000</v>
      </c>
      <c r="J10" s="49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ht="25.2">
      <c r="A11" s="1">
        <v>2</v>
      </c>
      <c r="B11" s="59" t="s">
        <v>253</v>
      </c>
      <c r="C11" s="49">
        <v>0</v>
      </c>
      <c r="D11" s="49">
        <v>0</v>
      </c>
      <c r="E11" s="49"/>
      <c r="F11" s="49"/>
      <c r="G11" s="49">
        <f t="shared" si="0"/>
        <v>0</v>
      </c>
      <c r="H11" s="49"/>
      <c r="I11" s="49">
        <f>D11+F11</f>
        <v>0</v>
      </c>
      <c r="J11" s="4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5.2">
      <c r="A12" s="1">
        <v>3</v>
      </c>
      <c r="B12" s="59" t="s">
        <v>254</v>
      </c>
      <c r="C12" s="48">
        <f>1200000+13483619</f>
        <v>14683619</v>
      </c>
      <c r="D12" s="48">
        <f>1200000+13483619</f>
        <v>14683619</v>
      </c>
      <c r="E12" s="48"/>
      <c r="F12" s="48"/>
      <c r="G12" s="49">
        <f t="shared" si="0"/>
        <v>14683619</v>
      </c>
      <c r="H12" s="49"/>
      <c r="I12" s="49">
        <f t="shared" si="1"/>
        <v>14683619</v>
      </c>
      <c r="J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ht="25.2">
      <c r="A13" s="1">
        <v>4</v>
      </c>
      <c r="B13" s="59" t="s">
        <v>255</v>
      </c>
      <c r="C13" s="48">
        <v>1270000</v>
      </c>
      <c r="D13" s="48">
        <v>1270001</v>
      </c>
      <c r="E13" s="48"/>
      <c r="F13" s="48"/>
      <c r="G13" s="49">
        <f t="shared" si="0"/>
        <v>1270000</v>
      </c>
      <c r="H13" s="49"/>
      <c r="I13" s="49">
        <f t="shared" si="1"/>
        <v>1270001</v>
      </c>
      <c r="J13" s="49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ht="25.2">
      <c r="A14" s="1">
        <v>5</v>
      </c>
      <c r="B14" s="59" t="s">
        <v>256</v>
      </c>
      <c r="C14" s="48"/>
      <c r="D14" s="48"/>
      <c r="E14" s="48"/>
      <c r="F14" s="48"/>
      <c r="G14" s="49">
        <f t="shared" si="0"/>
        <v>0</v>
      </c>
      <c r="H14" s="49"/>
      <c r="I14" s="49">
        <f t="shared" si="1"/>
        <v>0</v>
      </c>
      <c r="J14" s="49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ht="17.5">
      <c r="A15" s="1">
        <v>6</v>
      </c>
      <c r="B15" s="44" t="s">
        <v>198</v>
      </c>
      <c r="C15" s="51">
        <f>SUM(C10:C14)</f>
        <v>16085619</v>
      </c>
      <c r="D15" s="51">
        <f>SUM(D10:D14)</f>
        <v>16085620</v>
      </c>
      <c r="E15" s="51">
        <f>SUM(E10:E14)</f>
        <v>0</v>
      </c>
      <c r="F15" s="51">
        <f>SUM(F10:F14)</f>
        <v>0</v>
      </c>
      <c r="G15" s="51">
        <f>SUM(G10:G14)</f>
        <v>16085619</v>
      </c>
      <c r="H15" s="51">
        <f>SUM(H10:H12)</f>
        <v>0</v>
      </c>
      <c r="I15" s="51">
        <f>SUM(I10:I14)</f>
        <v>16085620</v>
      </c>
      <c r="J15" s="51">
        <f>SUM(J10:J12)</f>
        <v>0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3"/>
      <c r="Y15" s="53"/>
      <c r="Z15" s="54"/>
      <c r="AA15" s="54"/>
      <c r="AB15" s="54"/>
    </row>
    <row r="16" spans="1:28" ht="16.8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9" spans="1:28" ht="58.75">
      <c r="B19" s="47" t="s">
        <v>0</v>
      </c>
      <c r="C19" s="41" t="s">
        <v>1</v>
      </c>
      <c r="D19" s="41" t="s">
        <v>57</v>
      </c>
      <c r="E19" s="41" t="s">
        <v>196</v>
      </c>
      <c r="F19" s="41" t="s">
        <v>197</v>
      </c>
      <c r="G19" s="4" t="s">
        <v>61</v>
      </c>
      <c r="H19" s="4" t="s">
        <v>62</v>
      </c>
      <c r="I19" s="4" t="s">
        <v>64</v>
      </c>
      <c r="J19" s="4" t="s">
        <v>65</v>
      </c>
    </row>
    <row r="20" spans="1:28" ht="14">
      <c r="B20" s="41" t="s">
        <v>5</v>
      </c>
      <c r="C20" s="41" t="s">
        <v>6</v>
      </c>
      <c r="D20" s="41" t="s">
        <v>7</v>
      </c>
      <c r="E20" s="41" t="s">
        <v>8</v>
      </c>
      <c r="F20" s="41" t="s">
        <v>70</v>
      </c>
      <c r="G20" s="41" t="s">
        <v>10</v>
      </c>
      <c r="H20" s="41" t="s">
        <v>11</v>
      </c>
      <c r="I20" s="41" t="s">
        <v>12</v>
      </c>
      <c r="J20" s="41" t="s">
        <v>13</v>
      </c>
    </row>
    <row r="21" spans="1:28" ht="16.8">
      <c r="A21" s="1">
        <v>1</v>
      </c>
      <c r="B21" s="173" t="s">
        <v>240</v>
      </c>
      <c r="C21" s="55"/>
      <c r="D21" s="55"/>
      <c r="E21" s="41"/>
      <c r="F21" s="41"/>
      <c r="G21" s="174">
        <f>C21+E21</f>
        <v>0</v>
      </c>
      <c r="H21" s="41"/>
      <c r="I21" s="174">
        <f>D21+F21</f>
        <v>0</v>
      </c>
      <c r="J21" s="41"/>
    </row>
    <row r="22" spans="1:28" ht="16.8">
      <c r="A22" s="1">
        <v>2</v>
      </c>
      <c r="B22" s="173" t="s">
        <v>296</v>
      </c>
      <c r="C22" s="55">
        <v>431212140</v>
      </c>
      <c r="D22" s="55">
        <v>90430540</v>
      </c>
      <c r="E22" s="55"/>
      <c r="F22" s="55"/>
      <c r="G22" s="174">
        <f t="shared" ref="G22:G27" si="2">C22+E22</f>
        <v>431212140</v>
      </c>
      <c r="H22" s="49"/>
      <c r="I22" s="174">
        <f t="shared" ref="I22:I27" si="3">D22+F22</f>
        <v>90430540</v>
      </c>
      <c r="J22" s="49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8">
      <c r="A23" s="1">
        <v>3</v>
      </c>
      <c r="B23" s="173" t="s">
        <v>241</v>
      </c>
      <c r="C23" s="55"/>
      <c r="D23" s="55"/>
      <c r="E23" s="55"/>
      <c r="F23" s="55"/>
      <c r="G23" s="174">
        <f t="shared" si="2"/>
        <v>0</v>
      </c>
      <c r="H23" s="49"/>
      <c r="I23" s="174">
        <f t="shared" si="3"/>
        <v>0</v>
      </c>
      <c r="J23" s="49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6.8">
      <c r="A24" s="1">
        <v>4</v>
      </c>
      <c r="B24" s="173"/>
      <c r="C24" s="55"/>
      <c r="D24" s="55"/>
      <c r="E24" s="55"/>
      <c r="F24" s="55"/>
      <c r="G24" s="174">
        <f t="shared" si="2"/>
        <v>0</v>
      </c>
      <c r="H24" s="49"/>
      <c r="I24" s="174">
        <f t="shared" si="3"/>
        <v>0</v>
      </c>
      <c r="J24" s="49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16.8">
      <c r="A25" s="1">
        <v>5</v>
      </c>
      <c r="B25" s="173"/>
      <c r="C25" s="55"/>
      <c r="D25" s="55"/>
      <c r="E25" s="55"/>
      <c r="F25" s="55"/>
      <c r="G25" s="174">
        <f t="shared" si="2"/>
        <v>0</v>
      </c>
      <c r="H25" s="49"/>
      <c r="I25" s="174">
        <f t="shared" si="3"/>
        <v>0</v>
      </c>
      <c r="J25" s="49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16.8">
      <c r="A26" s="1">
        <v>6</v>
      </c>
      <c r="B26" s="173"/>
      <c r="C26" s="55"/>
      <c r="D26" s="55"/>
      <c r="E26" s="55"/>
      <c r="F26" s="55"/>
      <c r="G26" s="174">
        <f t="shared" si="2"/>
        <v>0</v>
      </c>
      <c r="H26" s="49"/>
      <c r="I26" s="174">
        <f t="shared" si="3"/>
        <v>0</v>
      </c>
      <c r="J26" s="49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6.8">
      <c r="A27" s="1">
        <v>7</v>
      </c>
      <c r="B27" s="173"/>
      <c r="C27" s="55"/>
      <c r="D27" s="55"/>
      <c r="E27" s="55"/>
      <c r="F27" s="55"/>
      <c r="G27" s="174">
        <f t="shared" si="2"/>
        <v>0</v>
      </c>
      <c r="H27" s="49"/>
      <c r="I27" s="174">
        <f t="shared" si="3"/>
        <v>0</v>
      </c>
      <c r="J27" s="49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ht="17.5">
      <c r="A28" s="1">
        <v>8</v>
      </c>
      <c r="B28" s="44" t="s">
        <v>199</v>
      </c>
      <c r="C28" s="51">
        <f>SUM(C21:C27)</f>
        <v>431212140</v>
      </c>
      <c r="D28" s="51">
        <f>SUM(D21:D27)</f>
        <v>90430540</v>
      </c>
      <c r="E28" s="51">
        <f t="shared" ref="E28:J28" si="4">SUM(E21:E27)</f>
        <v>0</v>
      </c>
      <c r="F28" s="51">
        <f t="shared" si="4"/>
        <v>0</v>
      </c>
      <c r="G28" s="51">
        <f t="shared" si="4"/>
        <v>431212140</v>
      </c>
      <c r="H28" s="51">
        <f t="shared" si="4"/>
        <v>0</v>
      </c>
      <c r="I28" s="51">
        <f t="shared" si="4"/>
        <v>90430540</v>
      </c>
      <c r="J28" s="51">
        <f t="shared" si="4"/>
        <v>0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3"/>
      <c r="Z28" s="54"/>
      <c r="AA28" s="54"/>
      <c r="AB28" s="54"/>
    </row>
    <row r="30" spans="1:28" ht="18.2">
      <c r="B30" s="57" t="s">
        <v>71</v>
      </c>
      <c r="C30" s="58">
        <f t="shared" ref="C30:J30" si="5">C28+C15</f>
        <v>447297759</v>
      </c>
      <c r="D30" s="58">
        <f t="shared" si="5"/>
        <v>106516160</v>
      </c>
      <c r="E30" s="58">
        <f t="shared" si="5"/>
        <v>0</v>
      </c>
      <c r="F30" s="58">
        <f t="shared" si="5"/>
        <v>0</v>
      </c>
      <c r="G30" s="58">
        <f t="shared" si="5"/>
        <v>447297759</v>
      </c>
      <c r="H30" s="58">
        <f t="shared" si="5"/>
        <v>0</v>
      </c>
      <c r="I30" s="58">
        <f>I28+I15</f>
        <v>106516160</v>
      </c>
      <c r="J30" s="58">
        <f t="shared" si="5"/>
        <v>0</v>
      </c>
    </row>
    <row r="31" spans="1:28">
      <c r="J31" s="195" t="s">
        <v>200</v>
      </c>
    </row>
  </sheetData>
  <mergeCells count="2">
    <mergeCell ref="A3:J3"/>
    <mergeCell ref="G6:J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3"/>
  <sheetViews>
    <sheetView view="pageBreakPreview" zoomScaleNormal="75" zoomScaleSheetLayoutView="100" workbookViewId="0">
      <selection activeCell="B2" sqref="B2:F2"/>
    </sheetView>
  </sheetViews>
  <sheetFormatPr defaultColWidth="9.125" defaultRowHeight="12.6"/>
  <cols>
    <col min="1" max="1" width="9.125" style="1" customWidth="1"/>
    <col min="2" max="2" width="71.375" style="1" customWidth="1"/>
    <col min="3" max="3" width="18.875" style="1" customWidth="1"/>
    <col min="4" max="4" width="23.375" style="60" customWidth="1"/>
    <col min="5" max="5" width="21.875" style="1" customWidth="1"/>
    <col min="6" max="6" width="19.75" style="1" customWidth="1"/>
    <col min="7" max="16384" width="9.125" style="1"/>
  </cols>
  <sheetData>
    <row r="1" spans="1:24">
      <c r="B1" s="201" t="s">
        <v>297</v>
      </c>
      <c r="C1" s="201"/>
      <c r="D1" s="201"/>
      <c r="E1" s="201"/>
      <c r="F1" s="201"/>
    </row>
    <row r="2" spans="1:24">
      <c r="B2" s="200" t="s">
        <v>314</v>
      </c>
      <c r="C2" s="200"/>
      <c r="D2" s="200"/>
      <c r="E2" s="200"/>
      <c r="F2" s="200"/>
    </row>
    <row r="3" spans="1:24" ht="20.3">
      <c r="B3" s="176" t="s">
        <v>262</v>
      </c>
    </row>
    <row r="4" spans="1:24">
      <c r="F4" s="1" t="s">
        <v>72</v>
      </c>
    </row>
    <row r="5" spans="1:24" ht="58.75">
      <c r="B5" s="47" t="s">
        <v>0</v>
      </c>
      <c r="C5" s="41" t="s">
        <v>1</v>
      </c>
      <c r="D5" s="61" t="s">
        <v>57</v>
      </c>
      <c r="E5" s="4" t="s">
        <v>61</v>
      </c>
      <c r="F5" s="4" t="s">
        <v>64</v>
      </c>
    </row>
    <row r="6" spans="1:24" ht="14">
      <c r="B6" s="41" t="s">
        <v>5</v>
      </c>
      <c r="C6" s="41" t="s">
        <v>6</v>
      </c>
      <c r="D6" s="61" t="s">
        <v>7</v>
      </c>
      <c r="E6" s="41" t="s">
        <v>8</v>
      </c>
      <c r="F6" s="41" t="s">
        <v>9</v>
      </c>
    </row>
    <row r="7" spans="1:24" ht="16.8">
      <c r="A7" s="1">
        <v>1</v>
      </c>
      <c r="B7" s="6" t="s">
        <v>257</v>
      </c>
      <c r="C7" s="48">
        <v>104516767</v>
      </c>
      <c r="D7" s="48">
        <v>104516767</v>
      </c>
      <c r="E7" s="49">
        <f>C7</f>
        <v>104516767</v>
      </c>
      <c r="F7" s="49">
        <f>D7</f>
        <v>104516767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24" ht="16.8">
      <c r="A8" s="1">
        <v>2</v>
      </c>
      <c r="B8" s="6" t="s">
        <v>258</v>
      </c>
      <c r="C8" s="48">
        <v>86999702</v>
      </c>
      <c r="D8" s="48">
        <v>86999702</v>
      </c>
      <c r="E8" s="49">
        <f t="shared" ref="E8:E11" si="0">C8</f>
        <v>86999702</v>
      </c>
      <c r="F8" s="49">
        <f t="shared" ref="F8:F11" si="1">D8</f>
        <v>86999702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16.8">
      <c r="A9" s="1">
        <v>3</v>
      </c>
      <c r="B9" s="6" t="s">
        <v>259</v>
      </c>
      <c r="C9" s="49">
        <v>38713080</v>
      </c>
      <c r="D9" s="49">
        <v>38713080</v>
      </c>
      <c r="E9" s="49">
        <f t="shared" si="0"/>
        <v>38713080</v>
      </c>
      <c r="F9" s="49">
        <f t="shared" si="1"/>
        <v>38713080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8">
      <c r="A10" s="1">
        <v>4</v>
      </c>
      <c r="B10" s="6" t="s">
        <v>260</v>
      </c>
      <c r="C10" s="48">
        <v>12964716</v>
      </c>
      <c r="D10" s="48">
        <v>12964716</v>
      </c>
      <c r="E10" s="49">
        <f>C10</f>
        <v>12964716</v>
      </c>
      <c r="F10" s="49">
        <f>D10</f>
        <v>12964716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3.549999999999997" customHeight="1">
      <c r="A11" s="1">
        <v>5</v>
      </c>
      <c r="B11" s="6" t="s">
        <v>261</v>
      </c>
      <c r="C11" s="48">
        <v>4554354</v>
      </c>
      <c r="D11" s="48">
        <v>6654775</v>
      </c>
      <c r="E11" s="49">
        <f t="shared" si="0"/>
        <v>4554354</v>
      </c>
      <c r="F11" s="49">
        <f t="shared" si="1"/>
        <v>6654775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8">
      <c r="B12" s="44" t="s">
        <v>116</v>
      </c>
      <c r="C12" s="51">
        <f>SUM(C7:C11)</f>
        <v>247748619</v>
      </c>
      <c r="D12" s="51">
        <f t="shared" ref="D12:F12" si="2">SUM(D7:D11)</f>
        <v>249849040</v>
      </c>
      <c r="E12" s="51">
        <f t="shared" si="2"/>
        <v>247748619</v>
      </c>
      <c r="F12" s="51">
        <f t="shared" si="2"/>
        <v>249849040</v>
      </c>
    </row>
    <row r="13" spans="1:24">
      <c r="F13" s="195" t="s">
        <v>200</v>
      </c>
    </row>
  </sheetData>
  <mergeCells count="2">
    <mergeCell ref="B1:F1"/>
    <mergeCell ref="B2:F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SheetLayoutView="100" workbookViewId="0">
      <selection activeCell="B3" sqref="B3:F3"/>
    </sheetView>
  </sheetViews>
  <sheetFormatPr defaultColWidth="9.125" defaultRowHeight="12.6"/>
  <cols>
    <col min="1" max="1" width="9.125" style="1" customWidth="1"/>
    <col min="2" max="2" width="35.875" style="1" customWidth="1"/>
    <col min="3" max="3" width="17.25" style="1" customWidth="1"/>
    <col min="4" max="4" width="18" style="60" customWidth="1"/>
    <col min="5" max="5" width="19.875" style="1" customWidth="1"/>
    <col min="6" max="6" width="20" style="1" customWidth="1"/>
    <col min="7" max="7" width="37.625" style="18" customWidth="1"/>
    <col min="8" max="8" width="12.875" style="1" customWidth="1"/>
    <col min="9" max="9" width="13.625" style="1" customWidth="1"/>
    <col min="10" max="10" width="20.75" style="1" customWidth="1"/>
    <col min="11" max="11" width="18" style="1" customWidth="1"/>
    <col min="12" max="16384" width="9.125" style="1"/>
  </cols>
  <sheetData>
    <row r="1" spans="1:7">
      <c r="D1" s="63"/>
    </row>
    <row r="2" spans="1:7">
      <c r="B2" s="201" t="s">
        <v>300</v>
      </c>
      <c r="C2" s="201"/>
      <c r="D2" s="201"/>
      <c r="E2" s="201"/>
      <c r="F2" s="201"/>
    </row>
    <row r="3" spans="1:7">
      <c r="B3" s="200" t="s">
        <v>315</v>
      </c>
      <c r="C3" s="200"/>
      <c r="D3" s="200"/>
      <c r="E3" s="200"/>
      <c r="F3" s="200"/>
      <c r="G3" s="1"/>
    </row>
    <row r="4" spans="1:7" ht="20.3">
      <c r="B4" s="176" t="s">
        <v>263</v>
      </c>
    </row>
    <row r="5" spans="1:7">
      <c r="F5" s="1" t="s">
        <v>72</v>
      </c>
    </row>
    <row r="6" spans="1:7" ht="25.2">
      <c r="B6" s="64" t="s">
        <v>0</v>
      </c>
      <c r="C6" s="65" t="s">
        <v>75</v>
      </c>
      <c r="D6" s="66" t="s">
        <v>76</v>
      </c>
      <c r="E6" s="65" t="s">
        <v>77</v>
      </c>
      <c r="F6" s="65" t="s">
        <v>78</v>
      </c>
    </row>
    <row r="7" spans="1:7">
      <c r="B7" s="67" t="s">
        <v>5</v>
      </c>
      <c r="C7" s="67" t="s">
        <v>6</v>
      </c>
      <c r="D7" s="68" t="s">
        <v>7</v>
      </c>
      <c r="E7" s="67" t="s">
        <v>8</v>
      </c>
      <c r="F7" s="67" t="s">
        <v>9</v>
      </c>
    </row>
    <row r="8" spans="1:7" ht="50.35" customHeight="1">
      <c r="A8" s="1">
        <v>1</v>
      </c>
      <c r="B8" s="145" t="s">
        <v>299</v>
      </c>
      <c r="C8" s="70">
        <v>431212140</v>
      </c>
      <c r="D8" s="70">
        <v>431212140</v>
      </c>
      <c r="E8" s="70">
        <f>D8-C8</f>
        <v>0</v>
      </c>
      <c r="F8" s="71" t="s">
        <v>298</v>
      </c>
    </row>
    <row r="9" spans="1:7">
      <c r="A9" s="1">
        <v>4</v>
      </c>
      <c r="B9" s="69" t="s">
        <v>74</v>
      </c>
      <c r="C9" s="72">
        <f>SUM(C8:C8)</f>
        <v>431212140</v>
      </c>
      <c r="D9" s="72">
        <f>SUM(D8:D8)</f>
        <v>431212140</v>
      </c>
      <c r="E9" s="72">
        <f>SUM(E8:E8)</f>
        <v>0</v>
      </c>
      <c r="F9" s="72"/>
    </row>
    <row r="10" spans="1:7">
      <c r="F10" s="195" t="s">
        <v>200</v>
      </c>
    </row>
    <row r="11" spans="1:7">
      <c r="C11" s="18"/>
      <c r="E11" s="73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1"/>
  <sheetViews>
    <sheetView view="pageBreakPreview" zoomScale="60" zoomScaleNormal="60" workbookViewId="0">
      <selection activeCell="J2" sqref="J2:N2"/>
    </sheetView>
  </sheetViews>
  <sheetFormatPr defaultColWidth="9.125" defaultRowHeight="12.6"/>
  <cols>
    <col min="1" max="1" width="9.125" style="1" customWidth="1"/>
    <col min="2" max="2" width="45.375" style="1" customWidth="1"/>
    <col min="3" max="3" width="22.125" style="74" customWidth="1"/>
    <col min="4" max="4" width="22.375" style="74" customWidth="1"/>
    <col min="5" max="5" width="20.25" style="74" customWidth="1"/>
    <col min="6" max="6" width="19.75" style="74" customWidth="1"/>
    <col min="7" max="7" width="18.375" style="74" customWidth="1"/>
    <col min="8" max="8" width="18.125" style="74" customWidth="1"/>
    <col min="9" max="9" width="21.25" style="74" customWidth="1"/>
    <col min="10" max="10" width="21.75" style="74" customWidth="1"/>
    <col min="11" max="11" width="22.375" style="74" customWidth="1"/>
    <col min="12" max="12" width="18.125" style="74" customWidth="1"/>
    <col min="13" max="13" width="21.375" style="74" customWidth="1"/>
    <col min="14" max="14" width="18.125" style="74" customWidth="1"/>
    <col min="15" max="16384" width="9.125" style="1"/>
  </cols>
  <sheetData>
    <row r="1" spans="1:14">
      <c r="B1" s="201" t="s">
        <v>302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27.3">
      <c r="B2" s="179" t="s">
        <v>281</v>
      </c>
      <c r="J2" s="201" t="s">
        <v>316</v>
      </c>
      <c r="K2" s="201"/>
      <c r="L2" s="201"/>
      <c r="M2" s="201"/>
      <c r="N2" s="201"/>
    </row>
    <row r="3" spans="1:14" hidden="1"/>
    <row r="4" spans="1:14" ht="20.3">
      <c r="B4" s="37"/>
      <c r="J4" s="201"/>
      <c r="K4" s="201"/>
      <c r="L4" s="201"/>
      <c r="M4" s="201"/>
      <c r="N4" s="201"/>
    </row>
    <row r="6" spans="1:14">
      <c r="B6" s="14" t="s">
        <v>79</v>
      </c>
      <c r="M6" s="1" t="s">
        <v>72</v>
      </c>
    </row>
    <row r="7" spans="1:14" ht="58.75">
      <c r="B7" s="75" t="s">
        <v>0</v>
      </c>
      <c r="C7" s="41" t="s">
        <v>1</v>
      </c>
      <c r="D7" s="41" t="s">
        <v>68</v>
      </c>
      <c r="E7" s="41" t="s">
        <v>2</v>
      </c>
      <c r="F7" s="41" t="s">
        <v>85</v>
      </c>
      <c r="G7" s="41" t="s">
        <v>63</v>
      </c>
      <c r="H7" s="41" t="s">
        <v>86</v>
      </c>
      <c r="I7" s="4" t="s">
        <v>3</v>
      </c>
      <c r="J7" s="4" t="s">
        <v>4</v>
      </c>
      <c r="K7" s="4" t="s">
        <v>61</v>
      </c>
      <c r="L7" s="4" t="s">
        <v>62</v>
      </c>
      <c r="M7" s="4" t="s">
        <v>64</v>
      </c>
      <c r="N7" s="4" t="s">
        <v>65</v>
      </c>
    </row>
    <row r="8" spans="1:14" ht="15.4">
      <c r="B8" s="76" t="s">
        <v>5</v>
      </c>
      <c r="C8" s="76" t="s">
        <v>6</v>
      </c>
      <c r="D8" s="76" t="s">
        <v>7</v>
      </c>
      <c r="E8" s="76" t="s">
        <v>8</v>
      </c>
      <c r="F8" s="76" t="s">
        <v>9</v>
      </c>
      <c r="G8" s="76" t="s">
        <v>10</v>
      </c>
      <c r="H8" s="76" t="s">
        <v>11</v>
      </c>
      <c r="I8" s="76" t="s">
        <v>12</v>
      </c>
      <c r="J8" s="76" t="s">
        <v>13</v>
      </c>
      <c r="K8" s="76" t="s">
        <v>14</v>
      </c>
      <c r="L8" s="76" t="s">
        <v>15</v>
      </c>
      <c r="M8" s="76" t="s">
        <v>16</v>
      </c>
      <c r="N8" s="76" t="s">
        <v>160</v>
      </c>
    </row>
    <row r="9" spans="1:14" ht="18.2">
      <c r="A9" s="1">
        <v>1</v>
      </c>
      <c r="B9" s="162" t="s">
        <v>222</v>
      </c>
      <c r="C9" s="161">
        <f>10000000/1.27</f>
        <v>7874015.7480314961</v>
      </c>
      <c r="D9" s="161">
        <f>10000000/1.27</f>
        <v>7874015.7480314961</v>
      </c>
      <c r="E9" s="90"/>
      <c r="F9" s="90"/>
      <c r="G9" s="90"/>
      <c r="H9" s="90"/>
      <c r="I9" s="90">
        <f t="shared" ref="I9:J32" si="0">C9+E9+G9</f>
        <v>7874015.7480314961</v>
      </c>
      <c r="J9" s="90">
        <f t="shared" ref="J9:J28" si="1">D9+F9+H9</f>
        <v>7874015.7480314961</v>
      </c>
      <c r="K9" s="90">
        <f t="shared" ref="K9:K34" si="2">C9+E9+G9</f>
        <v>7874015.7480314961</v>
      </c>
      <c r="L9" s="90"/>
      <c r="M9" s="90">
        <f t="shared" ref="M9:M34" si="3">D9+F9+H9</f>
        <v>7874015.7480314961</v>
      </c>
      <c r="N9" s="90"/>
    </row>
    <row r="10" spans="1:14" ht="36.700000000000003" customHeight="1">
      <c r="A10" s="1">
        <v>2</v>
      </c>
      <c r="B10" s="160" t="s">
        <v>264</v>
      </c>
      <c r="C10" s="161">
        <f>400000/1.27</f>
        <v>314960.62992125982</v>
      </c>
      <c r="D10" s="161">
        <f>400000/1.27</f>
        <v>314960.62992125982</v>
      </c>
      <c r="E10" s="90"/>
      <c r="F10" s="90"/>
      <c r="G10" s="90"/>
      <c r="H10" s="90"/>
      <c r="I10" s="90">
        <f t="shared" si="0"/>
        <v>314960.62992125982</v>
      </c>
      <c r="J10" s="90">
        <f t="shared" si="1"/>
        <v>314960.62992125982</v>
      </c>
      <c r="K10" s="90">
        <f t="shared" si="2"/>
        <v>314960.62992125982</v>
      </c>
      <c r="L10" s="90"/>
      <c r="M10" s="90">
        <f t="shared" si="3"/>
        <v>314960.62992125982</v>
      </c>
      <c r="N10" s="90"/>
    </row>
    <row r="11" spans="1:14" ht="36.700000000000003" customHeight="1">
      <c r="A11" s="1">
        <v>3</v>
      </c>
      <c r="B11" s="162" t="s">
        <v>265</v>
      </c>
      <c r="C11" s="161">
        <f>1070000/1.27</f>
        <v>842519.68503937009</v>
      </c>
      <c r="D11" s="161">
        <f>1070000/1.27</f>
        <v>842519.68503937009</v>
      </c>
      <c r="E11" s="90"/>
      <c r="F11" s="90"/>
      <c r="G11" s="90"/>
      <c r="H11" s="90"/>
      <c r="I11" s="90">
        <f t="shared" si="0"/>
        <v>842519.68503937009</v>
      </c>
      <c r="J11" s="90">
        <f t="shared" si="1"/>
        <v>842519.68503937009</v>
      </c>
      <c r="K11" s="90">
        <f t="shared" si="2"/>
        <v>842519.68503937009</v>
      </c>
      <c r="L11" s="90"/>
      <c r="M11" s="90">
        <f t="shared" si="3"/>
        <v>842519.68503937009</v>
      </c>
      <c r="N11" s="90"/>
    </row>
    <row r="12" spans="1:14" ht="36.700000000000003" customHeight="1">
      <c r="A12" s="1">
        <v>4</v>
      </c>
      <c r="B12" s="162" t="s">
        <v>266</v>
      </c>
      <c r="C12" s="161">
        <v>5000000</v>
      </c>
      <c r="D12" s="161">
        <v>9127500</v>
      </c>
      <c r="E12" s="90"/>
      <c r="F12" s="90"/>
      <c r="G12" s="90"/>
      <c r="H12" s="90"/>
      <c r="I12" s="90">
        <f t="shared" si="0"/>
        <v>5000000</v>
      </c>
      <c r="J12" s="90">
        <f t="shared" si="1"/>
        <v>9127500</v>
      </c>
      <c r="K12" s="90">
        <f t="shared" si="2"/>
        <v>5000000</v>
      </c>
      <c r="L12" s="90"/>
      <c r="M12" s="90">
        <f t="shared" si="3"/>
        <v>9127500</v>
      </c>
      <c r="N12" s="90"/>
    </row>
    <row r="13" spans="1:14" ht="36.700000000000003" customHeight="1">
      <c r="A13" s="1">
        <v>5</v>
      </c>
      <c r="B13" s="162" t="s">
        <v>267</v>
      </c>
      <c r="C13" s="161">
        <f>35600000/1.27</f>
        <v>28031496.062992126</v>
      </c>
      <c r="D13" s="161">
        <v>27472075</v>
      </c>
      <c r="E13" s="90"/>
      <c r="F13" s="90"/>
      <c r="G13" s="90"/>
      <c r="H13" s="90"/>
      <c r="I13" s="90">
        <f t="shared" si="0"/>
        <v>28031496.062992126</v>
      </c>
      <c r="J13" s="90">
        <f t="shared" si="1"/>
        <v>27472075</v>
      </c>
      <c r="K13" s="90">
        <f t="shared" si="2"/>
        <v>28031496.062992126</v>
      </c>
      <c r="L13" s="90"/>
      <c r="M13" s="90">
        <f t="shared" si="3"/>
        <v>27472075</v>
      </c>
      <c r="N13" s="90"/>
    </row>
    <row r="14" spans="1:14" ht="36.700000000000003" customHeight="1">
      <c r="A14" s="1">
        <v>6</v>
      </c>
      <c r="B14" s="162" t="s">
        <v>268</v>
      </c>
      <c r="C14" s="161">
        <v>80000000</v>
      </c>
      <c r="D14" s="161">
        <v>70000000</v>
      </c>
      <c r="E14" s="90"/>
      <c r="F14" s="90"/>
      <c r="G14" s="90"/>
      <c r="H14" s="90"/>
      <c r="I14" s="90">
        <f t="shared" si="0"/>
        <v>80000000</v>
      </c>
      <c r="J14" s="90">
        <f t="shared" si="1"/>
        <v>70000000</v>
      </c>
      <c r="K14" s="90">
        <f t="shared" si="2"/>
        <v>80000000</v>
      </c>
      <c r="L14" s="90"/>
      <c r="M14" s="90">
        <f t="shared" si="3"/>
        <v>70000000</v>
      </c>
      <c r="N14" s="90"/>
    </row>
    <row r="15" spans="1:14" ht="18.2">
      <c r="A15" s="1">
        <v>7</v>
      </c>
      <c r="B15" s="162" t="s">
        <v>269</v>
      </c>
      <c r="C15" s="161">
        <v>14900000</v>
      </c>
      <c r="D15" s="161">
        <v>11340000</v>
      </c>
      <c r="E15" s="90"/>
      <c r="F15" s="90"/>
      <c r="G15" s="90"/>
      <c r="H15" s="90"/>
      <c r="I15" s="90">
        <f t="shared" si="0"/>
        <v>14900000</v>
      </c>
      <c r="J15" s="90">
        <f t="shared" si="1"/>
        <v>11340000</v>
      </c>
      <c r="K15" s="90">
        <f t="shared" si="2"/>
        <v>14900000</v>
      </c>
      <c r="L15" s="90"/>
      <c r="M15" s="90">
        <f t="shared" si="3"/>
        <v>11340000</v>
      </c>
      <c r="N15" s="90"/>
    </row>
    <row r="16" spans="1:14" ht="36.35">
      <c r="A16" s="1">
        <v>8</v>
      </c>
      <c r="B16" s="162" t="s">
        <v>270</v>
      </c>
      <c r="C16" s="161">
        <v>5300000</v>
      </c>
      <c r="D16" s="161">
        <v>5792287</v>
      </c>
      <c r="E16" s="161"/>
      <c r="F16" s="161"/>
      <c r="G16" s="90"/>
      <c r="H16" s="90"/>
      <c r="I16" s="90">
        <f t="shared" si="0"/>
        <v>5300000</v>
      </c>
      <c r="J16" s="90">
        <f t="shared" si="1"/>
        <v>5792287</v>
      </c>
      <c r="K16" s="90">
        <f t="shared" si="2"/>
        <v>5300000</v>
      </c>
      <c r="L16" s="90"/>
      <c r="M16" s="90">
        <f t="shared" si="3"/>
        <v>5792287</v>
      </c>
      <c r="N16" s="90"/>
    </row>
    <row r="17" spans="1:14" ht="18.2">
      <c r="A17" s="1">
        <v>9</v>
      </c>
      <c r="B17" s="160" t="s">
        <v>271</v>
      </c>
      <c r="C17" s="161">
        <f>1800000/1.27</f>
        <v>1417322.8346456692</v>
      </c>
      <c r="D17" s="161">
        <f>1800000/1.27</f>
        <v>1417322.8346456692</v>
      </c>
      <c r="E17" s="161"/>
      <c r="F17" s="161"/>
      <c r="G17" s="90"/>
      <c r="H17" s="90"/>
      <c r="I17" s="90">
        <f t="shared" si="0"/>
        <v>1417322.8346456692</v>
      </c>
      <c r="J17" s="90">
        <f t="shared" si="1"/>
        <v>1417322.8346456692</v>
      </c>
      <c r="K17" s="90">
        <f t="shared" si="2"/>
        <v>1417322.8346456692</v>
      </c>
      <c r="L17" s="90"/>
      <c r="M17" s="90">
        <f t="shared" si="3"/>
        <v>1417322.8346456692</v>
      </c>
      <c r="N17" s="90"/>
    </row>
    <row r="18" spans="1:14" ht="18.2">
      <c r="A18" s="1">
        <v>10</v>
      </c>
      <c r="B18" s="160" t="s">
        <v>272</v>
      </c>
      <c r="C18" s="161">
        <v>3000000</v>
      </c>
      <c r="D18" s="161">
        <v>0</v>
      </c>
      <c r="E18" s="161"/>
      <c r="F18" s="161"/>
      <c r="G18" s="90"/>
      <c r="H18" s="90"/>
      <c r="I18" s="90">
        <f t="shared" si="0"/>
        <v>3000000</v>
      </c>
      <c r="J18" s="90">
        <f t="shared" si="1"/>
        <v>0</v>
      </c>
      <c r="K18" s="90">
        <f t="shared" si="2"/>
        <v>3000000</v>
      </c>
      <c r="L18" s="90"/>
      <c r="M18" s="90">
        <f t="shared" si="3"/>
        <v>0</v>
      </c>
      <c r="N18" s="90"/>
    </row>
    <row r="19" spans="1:14" ht="36.35">
      <c r="A19" s="1">
        <v>11</v>
      </c>
      <c r="B19" s="162" t="s">
        <v>273</v>
      </c>
      <c r="C19" s="161">
        <v>431212140</v>
      </c>
      <c r="D19" s="161">
        <f>12000000</f>
        <v>12000000</v>
      </c>
      <c r="E19" s="161"/>
      <c r="F19" s="161"/>
      <c r="G19" s="90"/>
      <c r="H19" s="90"/>
      <c r="I19" s="90">
        <f t="shared" si="0"/>
        <v>431212140</v>
      </c>
      <c r="J19" s="90">
        <f t="shared" si="1"/>
        <v>12000000</v>
      </c>
      <c r="K19" s="90">
        <f t="shared" si="2"/>
        <v>431212140</v>
      </c>
      <c r="L19" s="90"/>
      <c r="M19" s="90">
        <f t="shared" si="3"/>
        <v>12000000</v>
      </c>
      <c r="N19" s="90"/>
    </row>
    <row r="20" spans="1:14" ht="18.2">
      <c r="A20" s="1">
        <v>12</v>
      </c>
      <c r="B20" s="162"/>
      <c r="C20" s="161"/>
      <c r="D20" s="161"/>
      <c r="E20" s="161"/>
      <c r="F20" s="161"/>
      <c r="G20" s="90"/>
      <c r="H20" s="90"/>
      <c r="I20" s="90">
        <f t="shared" si="0"/>
        <v>0</v>
      </c>
      <c r="J20" s="90">
        <f t="shared" si="1"/>
        <v>0</v>
      </c>
      <c r="K20" s="90">
        <f t="shared" si="2"/>
        <v>0</v>
      </c>
      <c r="L20" s="90"/>
      <c r="M20" s="90">
        <f t="shared" si="3"/>
        <v>0</v>
      </c>
      <c r="N20" s="90"/>
    </row>
    <row r="21" spans="1:14" ht="36.35">
      <c r="A21" s="1">
        <v>13</v>
      </c>
      <c r="B21" s="162" t="s">
        <v>274</v>
      </c>
      <c r="C21" s="161"/>
      <c r="D21" s="161"/>
      <c r="E21" s="161">
        <v>639970</v>
      </c>
      <c r="F21" s="161">
        <v>639970</v>
      </c>
      <c r="G21" s="90"/>
      <c r="H21" s="90"/>
      <c r="I21" s="90">
        <f t="shared" si="0"/>
        <v>639970</v>
      </c>
      <c r="J21" s="90">
        <f t="shared" si="1"/>
        <v>639970</v>
      </c>
      <c r="K21" s="90">
        <f t="shared" si="2"/>
        <v>639970</v>
      </c>
      <c r="L21" s="90"/>
      <c r="M21" s="90">
        <f t="shared" si="3"/>
        <v>639970</v>
      </c>
      <c r="N21" s="90"/>
    </row>
    <row r="22" spans="1:14" ht="18.2">
      <c r="A22" s="1">
        <v>14</v>
      </c>
      <c r="B22" s="160" t="s">
        <v>275</v>
      </c>
      <c r="C22" s="161"/>
      <c r="D22" s="161"/>
      <c r="E22" s="167">
        <v>7637795</v>
      </c>
      <c r="F22" s="167">
        <v>7637795</v>
      </c>
      <c r="G22" s="191"/>
      <c r="H22" s="191"/>
      <c r="I22" s="90">
        <f t="shared" si="0"/>
        <v>7637795</v>
      </c>
      <c r="J22" s="90">
        <f t="shared" si="1"/>
        <v>7637795</v>
      </c>
      <c r="K22" s="90">
        <f t="shared" si="2"/>
        <v>7637795</v>
      </c>
      <c r="L22" s="90"/>
      <c r="M22" s="90">
        <f t="shared" si="3"/>
        <v>7637795</v>
      </c>
      <c r="N22" s="90"/>
    </row>
    <row r="23" spans="1:14" ht="18.2">
      <c r="A23" s="1">
        <v>15</v>
      </c>
      <c r="B23" s="162"/>
      <c r="C23" s="161"/>
      <c r="D23" s="190"/>
      <c r="E23" s="189"/>
      <c r="F23" s="189"/>
      <c r="G23" s="90"/>
      <c r="H23" s="90"/>
      <c r="I23" s="90">
        <f t="shared" si="0"/>
        <v>0</v>
      </c>
      <c r="J23" s="90">
        <f t="shared" si="1"/>
        <v>0</v>
      </c>
      <c r="K23" s="90">
        <f t="shared" si="2"/>
        <v>0</v>
      </c>
      <c r="L23" s="90"/>
      <c r="M23" s="90">
        <f t="shared" si="3"/>
        <v>0</v>
      </c>
      <c r="N23" s="90"/>
    </row>
    <row r="24" spans="1:14" ht="18.2">
      <c r="A24" s="1">
        <v>16</v>
      </c>
      <c r="B24" s="162"/>
      <c r="C24" s="161"/>
      <c r="D24" s="190"/>
      <c r="E24" s="189"/>
      <c r="F24" s="189"/>
      <c r="G24" s="90"/>
      <c r="H24" s="90"/>
      <c r="I24" s="90">
        <f t="shared" si="0"/>
        <v>0</v>
      </c>
      <c r="J24" s="90">
        <f t="shared" si="1"/>
        <v>0</v>
      </c>
      <c r="K24" s="90">
        <f t="shared" si="2"/>
        <v>0</v>
      </c>
      <c r="L24" s="90"/>
      <c r="M24" s="90">
        <f t="shared" si="3"/>
        <v>0</v>
      </c>
      <c r="N24" s="90"/>
    </row>
    <row r="25" spans="1:14" ht="18.2">
      <c r="A25" s="1">
        <v>17</v>
      </c>
      <c r="B25" s="162"/>
      <c r="C25" s="161"/>
      <c r="D25" s="190"/>
      <c r="E25" s="189"/>
      <c r="F25" s="189"/>
      <c r="G25" s="90"/>
      <c r="H25" s="90"/>
      <c r="I25" s="90">
        <f t="shared" si="0"/>
        <v>0</v>
      </c>
      <c r="J25" s="90">
        <f t="shared" si="1"/>
        <v>0</v>
      </c>
      <c r="K25" s="90">
        <f t="shared" si="2"/>
        <v>0</v>
      </c>
      <c r="L25" s="90"/>
      <c r="M25" s="90">
        <f t="shared" si="3"/>
        <v>0</v>
      </c>
      <c r="N25" s="90"/>
    </row>
    <row r="26" spans="1:14" ht="18.2">
      <c r="A26" s="1">
        <v>18</v>
      </c>
      <c r="B26" s="162"/>
      <c r="C26" s="161"/>
      <c r="D26" s="190"/>
      <c r="E26" s="189"/>
      <c r="F26" s="189"/>
      <c r="G26" s="90"/>
      <c r="H26" s="90"/>
      <c r="I26" s="90">
        <f t="shared" si="0"/>
        <v>0</v>
      </c>
      <c r="J26" s="90">
        <f t="shared" si="1"/>
        <v>0</v>
      </c>
      <c r="K26" s="90">
        <f t="shared" si="2"/>
        <v>0</v>
      </c>
      <c r="L26" s="90"/>
      <c r="M26" s="90">
        <f t="shared" si="3"/>
        <v>0</v>
      </c>
      <c r="N26" s="90"/>
    </row>
    <row r="27" spans="1:14" ht="36.35">
      <c r="A27" s="1">
        <v>19</v>
      </c>
      <c r="B27" s="162" t="s">
        <v>276</v>
      </c>
      <c r="C27" s="161"/>
      <c r="D27" s="190"/>
      <c r="E27" s="90"/>
      <c r="F27" s="90"/>
      <c r="G27" s="161">
        <f>400000/1.27</f>
        <v>314960.62992125982</v>
      </c>
      <c r="H27" s="161">
        <f>400000/1.27</f>
        <v>314960.62992125982</v>
      </c>
      <c r="I27" s="90">
        <f t="shared" si="0"/>
        <v>314960.62992125982</v>
      </c>
      <c r="J27" s="90">
        <f t="shared" si="1"/>
        <v>314960.62992125982</v>
      </c>
      <c r="K27" s="90">
        <f t="shared" si="2"/>
        <v>314960.62992125982</v>
      </c>
      <c r="L27" s="90"/>
      <c r="M27" s="90">
        <f t="shared" si="3"/>
        <v>314960.62992125982</v>
      </c>
      <c r="N27" s="90"/>
    </row>
    <row r="28" spans="1:14" ht="36.35">
      <c r="A28" s="1">
        <v>20</v>
      </c>
      <c r="B28" s="162" t="s">
        <v>277</v>
      </c>
      <c r="C28" s="161"/>
      <c r="D28" s="190"/>
      <c r="E28" s="192"/>
      <c r="F28" s="192"/>
      <c r="G28" s="161">
        <f>150000/1.27</f>
        <v>118110.23622047243</v>
      </c>
      <c r="H28" s="161">
        <f>150000/1.27</f>
        <v>118110.23622047243</v>
      </c>
      <c r="I28" s="90">
        <f t="shared" si="0"/>
        <v>118110.23622047243</v>
      </c>
      <c r="J28" s="90">
        <f t="shared" si="1"/>
        <v>118110.23622047243</v>
      </c>
      <c r="K28" s="90">
        <f t="shared" si="2"/>
        <v>118110.23622047243</v>
      </c>
      <c r="L28" s="90"/>
      <c r="M28" s="90">
        <f t="shared" si="3"/>
        <v>118110.23622047243</v>
      </c>
      <c r="N28" s="90"/>
    </row>
    <row r="29" spans="1:14" ht="36.35">
      <c r="A29" s="1">
        <v>21</v>
      </c>
      <c r="B29" s="162" t="s">
        <v>278</v>
      </c>
      <c r="C29" s="161"/>
      <c r="D29" s="161"/>
      <c r="E29" s="192"/>
      <c r="F29" s="192"/>
      <c r="G29" s="161">
        <f>1000000/1.27</f>
        <v>787401.57480314956</v>
      </c>
      <c r="H29" s="161">
        <f>1000000/1.27</f>
        <v>787401.57480314956</v>
      </c>
      <c r="I29" s="90">
        <f t="shared" si="0"/>
        <v>787401.57480314956</v>
      </c>
      <c r="J29" s="90">
        <f t="shared" si="0"/>
        <v>787401.57480314956</v>
      </c>
      <c r="K29" s="90">
        <f t="shared" si="2"/>
        <v>787401.57480314956</v>
      </c>
      <c r="L29" s="90"/>
      <c r="M29" s="90">
        <f t="shared" si="3"/>
        <v>787401.57480314956</v>
      </c>
      <c r="N29" s="90"/>
    </row>
    <row r="30" spans="1:14" ht="18.2">
      <c r="A30" s="1">
        <v>22</v>
      </c>
      <c r="B30" s="162" t="s">
        <v>279</v>
      </c>
      <c r="C30" s="161"/>
      <c r="D30" s="161"/>
      <c r="E30" s="90"/>
      <c r="F30" s="90"/>
      <c r="G30" s="161">
        <f>700000/1.27</f>
        <v>551181.10236220469</v>
      </c>
      <c r="H30" s="161">
        <f>700000/1.27</f>
        <v>551181.10236220469</v>
      </c>
      <c r="I30" s="90">
        <f t="shared" si="0"/>
        <v>551181.10236220469</v>
      </c>
      <c r="J30" s="90">
        <f t="shared" si="0"/>
        <v>551181.10236220469</v>
      </c>
      <c r="K30" s="90">
        <f t="shared" si="2"/>
        <v>551181.10236220469</v>
      </c>
      <c r="L30" s="90"/>
      <c r="M30" s="90">
        <f t="shared" si="3"/>
        <v>551181.10236220469</v>
      </c>
      <c r="N30" s="90"/>
    </row>
    <row r="31" spans="1:14" ht="18.2">
      <c r="A31" s="1">
        <v>23</v>
      </c>
      <c r="B31" s="162" t="s">
        <v>280</v>
      </c>
      <c r="C31" s="161"/>
      <c r="D31" s="161"/>
      <c r="E31" s="90"/>
      <c r="F31" s="90"/>
      <c r="G31" s="161">
        <f>3500000/1.27</f>
        <v>2755905.5118110236</v>
      </c>
      <c r="H31" s="161">
        <f>3500000/1.27</f>
        <v>2755905.5118110236</v>
      </c>
      <c r="I31" s="90">
        <f t="shared" si="0"/>
        <v>2755905.5118110236</v>
      </c>
      <c r="J31" s="90">
        <f t="shared" si="0"/>
        <v>2755905.5118110236</v>
      </c>
      <c r="K31" s="90">
        <f t="shared" si="2"/>
        <v>2755905.5118110236</v>
      </c>
      <c r="L31" s="90"/>
      <c r="M31" s="90">
        <f t="shared" si="3"/>
        <v>2755905.5118110236</v>
      </c>
      <c r="N31" s="90"/>
    </row>
    <row r="32" spans="1:14" ht="18.2">
      <c r="A32" s="1">
        <v>24</v>
      </c>
      <c r="B32" s="162"/>
      <c r="C32" s="161"/>
      <c r="D32" s="161"/>
      <c r="E32" s="90"/>
      <c r="F32" s="90"/>
      <c r="G32" s="161"/>
      <c r="H32" s="161"/>
      <c r="I32" s="90">
        <f t="shared" si="0"/>
        <v>0</v>
      </c>
      <c r="J32" s="90">
        <f t="shared" si="0"/>
        <v>0</v>
      </c>
      <c r="K32" s="90">
        <f t="shared" si="2"/>
        <v>0</v>
      </c>
      <c r="L32" s="90"/>
      <c r="M32" s="90">
        <f t="shared" si="3"/>
        <v>0</v>
      </c>
      <c r="N32" s="90"/>
    </row>
    <row r="33" spans="1:14" ht="18.2">
      <c r="A33" s="1">
        <v>25</v>
      </c>
      <c r="B33" s="162"/>
      <c r="C33" s="167"/>
      <c r="D33" s="167"/>
      <c r="E33" s="90"/>
      <c r="F33" s="90"/>
      <c r="G33" s="90"/>
      <c r="H33" s="90"/>
      <c r="I33" s="90">
        <f t="shared" ref="I33:J34" si="4">C33+E33+G33</f>
        <v>0</v>
      </c>
      <c r="J33" s="90">
        <f t="shared" si="4"/>
        <v>0</v>
      </c>
      <c r="K33" s="90">
        <f t="shared" si="2"/>
        <v>0</v>
      </c>
      <c r="L33" s="90"/>
      <c r="M33" s="90">
        <f t="shared" si="3"/>
        <v>0</v>
      </c>
      <c r="N33" s="90"/>
    </row>
    <row r="34" spans="1:14" ht="18.2">
      <c r="A34" s="1">
        <v>26</v>
      </c>
      <c r="B34" s="168" t="s">
        <v>159</v>
      </c>
      <c r="C34" s="169">
        <f>SUM(C9:C18)*0.27</f>
        <v>39603685.039370075</v>
      </c>
      <c r="D34" s="169">
        <v>12625085</v>
      </c>
      <c r="E34" s="169">
        <f>SUM(E9:E33)*0.27</f>
        <v>2234996.5500000003</v>
      </c>
      <c r="F34" s="169">
        <f>SUM(F9:F33)*0.27</f>
        <v>2234996.5500000003</v>
      </c>
      <c r="G34" s="169">
        <f>SUM(G9:G33)*0.27</f>
        <v>1222440.9448818897</v>
      </c>
      <c r="H34" s="169">
        <f>SUM(H9:H33)*0.27</f>
        <v>1222440.9448818897</v>
      </c>
      <c r="I34" s="90">
        <f t="shared" si="4"/>
        <v>43061122.534251958</v>
      </c>
      <c r="J34" s="90">
        <f t="shared" si="4"/>
        <v>16082522.494881891</v>
      </c>
      <c r="K34" s="90">
        <f t="shared" si="2"/>
        <v>43061122.534251958</v>
      </c>
      <c r="L34" s="90"/>
      <c r="M34" s="90">
        <f t="shared" si="3"/>
        <v>16082522.494881891</v>
      </c>
      <c r="N34" s="90"/>
    </row>
    <row r="35" spans="1:14" ht="18.2">
      <c r="A35" s="1">
        <v>27</v>
      </c>
      <c r="B35" s="78" t="s">
        <v>74</v>
      </c>
      <c r="C35" s="91">
        <f>SUM(C9:C34)</f>
        <v>617496140</v>
      </c>
      <c r="D35" s="91">
        <f t="shared" ref="D35:N35" si="5">SUM(D9:D34)</f>
        <v>158805765.89763778</v>
      </c>
      <c r="E35" s="91">
        <f t="shared" si="5"/>
        <v>10512761.550000001</v>
      </c>
      <c r="F35" s="91">
        <f t="shared" si="5"/>
        <v>10512761.550000001</v>
      </c>
      <c r="G35" s="91">
        <f t="shared" si="5"/>
        <v>5750000</v>
      </c>
      <c r="H35" s="91">
        <f t="shared" si="5"/>
        <v>5750000</v>
      </c>
      <c r="I35" s="91">
        <f t="shared" si="5"/>
        <v>633758901.54999995</v>
      </c>
      <c r="J35" s="91">
        <f t="shared" si="5"/>
        <v>175068527.4476378</v>
      </c>
      <c r="K35" s="91">
        <f t="shared" si="5"/>
        <v>633758901.54999995</v>
      </c>
      <c r="L35" s="91">
        <f t="shared" si="5"/>
        <v>0</v>
      </c>
      <c r="M35" s="91">
        <f t="shared" si="5"/>
        <v>175068527.4476378</v>
      </c>
      <c r="N35" s="91">
        <f t="shared" si="5"/>
        <v>0</v>
      </c>
    </row>
    <row r="36" spans="1:14" ht="18.2">
      <c r="B36" s="79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1:14" ht="18.2">
      <c r="B37" s="83" t="s">
        <v>80</v>
      </c>
    </row>
    <row r="38" spans="1:14" ht="58.75">
      <c r="B38" s="75" t="s">
        <v>0</v>
      </c>
      <c r="C38" s="41" t="s">
        <v>1</v>
      </c>
      <c r="D38" s="41" t="s">
        <v>68</v>
      </c>
      <c r="E38" s="41" t="s">
        <v>2</v>
      </c>
      <c r="F38" s="41" t="s">
        <v>85</v>
      </c>
      <c r="G38" s="41" t="s">
        <v>63</v>
      </c>
      <c r="H38" s="41" t="s">
        <v>86</v>
      </c>
      <c r="I38" s="4" t="s">
        <v>3</v>
      </c>
      <c r="J38" s="4" t="s">
        <v>4</v>
      </c>
      <c r="K38" s="4" t="s">
        <v>61</v>
      </c>
      <c r="L38" s="4" t="s">
        <v>62</v>
      </c>
      <c r="M38" s="4" t="s">
        <v>64</v>
      </c>
      <c r="N38" s="4" t="s">
        <v>65</v>
      </c>
    </row>
    <row r="39" spans="1:14" ht="15.4">
      <c r="B39" s="76" t="s">
        <v>5</v>
      </c>
      <c r="C39" s="76" t="s">
        <v>6</v>
      </c>
      <c r="D39" s="76" t="s">
        <v>7</v>
      </c>
      <c r="E39" s="76" t="s">
        <v>8</v>
      </c>
      <c r="F39" s="76" t="s">
        <v>9</v>
      </c>
      <c r="G39" s="76" t="s">
        <v>10</v>
      </c>
      <c r="H39" s="76" t="s">
        <v>11</v>
      </c>
      <c r="I39" s="76" t="s">
        <v>12</v>
      </c>
      <c r="J39" s="76" t="s">
        <v>13</v>
      </c>
      <c r="K39" s="76" t="s">
        <v>14</v>
      </c>
      <c r="L39" s="76" t="s">
        <v>15</v>
      </c>
      <c r="M39" s="76" t="s">
        <v>16</v>
      </c>
      <c r="N39" s="76" t="s">
        <v>160</v>
      </c>
    </row>
    <row r="40" spans="1:14" ht="18.2">
      <c r="A40" s="1">
        <v>1</v>
      </c>
      <c r="B40" s="162" t="s">
        <v>282</v>
      </c>
      <c r="C40" s="161">
        <v>30000000</v>
      </c>
      <c r="D40" s="161">
        <v>30000000</v>
      </c>
      <c r="E40" s="90"/>
      <c r="F40" s="90"/>
      <c r="G40" s="90"/>
      <c r="H40" s="90"/>
      <c r="I40" s="90">
        <f t="shared" ref="I40:J43" si="6">C40+E40+G40</f>
        <v>30000000</v>
      </c>
      <c r="J40" s="90">
        <f t="shared" si="6"/>
        <v>30000000</v>
      </c>
      <c r="K40" s="90">
        <f>C40+E40+G40</f>
        <v>30000000</v>
      </c>
      <c r="L40" s="90"/>
      <c r="M40" s="90">
        <f>D40+F40+H40</f>
        <v>30000000</v>
      </c>
      <c r="N40" s="90"/>
    </row>
    <row r="41" spans="1:14" ht="36.700000000000003" customHeight="1">
      <c r="A41" s="1">
        <v>2</v>
      </c>
      <c r="B41" s="162" t="s">
        <v>301</v>
      </c>
      <c r="C41" s="161"/>
      <c r="D41" s="161">
        <v>18140000</v>
      </c>
      <c r="E41" s="90"/>
      <c r="F41" s="90"/>
      <c r="G41" s="90"/>
      <c r="H41" s="90"/>
      <c r="I41" s="90">
        <f t="shared" si="6"/>
        <v>0</v>
      </c>
      <c r="J41" s="90">
        <f t="shared" si="6"/>
        <v>18140000</v>
      </c>
      <c r="K41" s="90">
        <f t="shared" ref="K41:K42" si="7">C41+E41+G41</f>
        <v>0</v>
      </c>
      <c r="L41" s="90"/>
      <c r="M41" s="90">
        <f t="shared" ref="M41:M42" si="8">D41+F41+H41</f>
        <v>18140000</v>
      </c>
      <c r="N41" s="90"/>
    </row>
    <row r="42" spans="1:14" ht="36.700000000000003" customHeight="1">
      <c r="A42" s="1">
        <v>3</v>
      </c>
      <c r="B42" s="188"/>
      <c r="C42" s="167"/>
      <c r="D42" s="167">
        <v>0</v>
      </c>
      <c r="E42" s="90"/>
      <c r="F42" s="90"/>
      <c r="G42" s="90"/>
      <c r="H42" s="90"/>
      <c r="I42" s="90">
        <f t="shared" si="6"/>
        <v>0</v>
      </c>
      <c r="J42" s="90">
        <f t="shared" si="6"/>
        <v>0</v>
      </c>
      <c r="K42" s="90">
        <f t="shared" si="7"/>
        <v>0</v>
      </c>
      <c r="L42" s="90"/>
      <c r="M42" s="90">
        <f t="shared" si="8"/>
        <v>0</v>
      </c>
      <c r="N42" s="90"/>
    </row>
    <row r="43" spans="1:14" ht="18.2">
      <c r="A43" s="1">
        <v>4</v>
      </c>
      <c r="B43" s="150" t="s">
        <v>159</v>
      </c>
      <c r="C43" s="163">
        <f>C40*0.27</f>
        <v>8100000.0000000009</v>
      </c>
      <c r="D43" s="163">
        <f>D40*0.27</f>
        <v>8100000.0000000009</v>
      </c>
      <c r="E43" s="77"/>
      <c r="F43" s="77"/>
      <c r="G43" s="77"/>
      <c r="H43" s="77"/>
      <c r="I43" s="90">
        <f t="shared" si="6"/>
        <v>8100000.0000000009</v>
      </c>
      <c r="J43" s="90">
        <f t="shared" si="6"/>
        <v>8100000.0000000009</v>
      </c>
      <c r="K43" s="90">
        <f>C43</f>
        <v>8100000.0000000009</v>
      </c>
      <c r="L43" s="90"/>
      <c r="M43" s="90">
        <f>D43</f>
        <v>8100000.0000000009</v>
      </c>
      <c r="N43" s="77"/>
    </row>
    <row r="44" spans="1:14" ht="18.2">
      <c r="A44" s="1">
        <v>5</v>
      </c>
      <c r="B44" s="78" t="s">
        <v>74</v>
      </c>
      <c r="C44" s="164">
        <f>SUM(C40:C43)</f>
        <v>38100000</v>
      </c>
      <c r="D44" s="164">
        <f>SUM(D40:D43)</f>
        <v>56240000</v>
      </c>
      <c r="E44" s="164">
        <f>SUM(E43:E43)</f>
        <v>0</v>
      </c>
      <c r="F44" s="164">
        <f>SUM(F43:F43)</f>
        <v>0</v>
      </c>
      <c r="G44" s="164">
        <f>SUM(G43:G43)</f>
        <v>0</v>
      </c>
      <c r="H44" s="164">
        <f>SUM(H43:H43)</f>
        <v>0</v>
      </c>
      <c r="I44" s="164">
        <f>SUM(I40:I43)</f>
        <v>38100000</v>
      </c>
      <c r="J44" s="164">
        <f>SUM(J40:J43)</f>
        <v>56240000</v>
      </c>
      <c r="K44" s="164">
        <f>SUM(K40:K43)</f>
        <v>38100000</v>
      </c>
      <c r="L44" s="164">
        <f>SUM(L43:L43)</f>
        <v>0</v>
      </c>
      <c r="M44" s="164">
        <f>SUM(M40:M43)</f>
        <v>56240000</v>
      </c>
      <c r="N44" s="164">
        <f>SUM(N43:N43)</f>
        <v>0</v>
      </c>
    </row>
    <row r="45" spans="1:14" ht="17.5">
      <c r="B45" s="80"/>
      <c r="C45" s="81"/>
      <c r="D45" s="82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14" ht="17.5"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</row>
    <row r="47" spans="1:14" ht="18.2">
      <c r="B47" s="83" t="s">
        <v>81</v>
      </c>
      <c r="C47" s="84">
        <f t="shared" ref="C47:N47" si="9">C35+C44</f>
        <v>655596140</v>
      </c>
      <c r="D47" s="84">
        <f t="shared" si="9"/>
        <v>215045765.89763778</v>
      </c>
      <c r="E47" s="84">
        <f t="shared" si="9"/>
        <v>10512761.550000001</v>
      </c>
      <c r="F47" s="84">
        <f t="shared" si="9"/>
        <v>10512761.550000001</v>
      </c>
      <c r="G47" s="84">
        <f t="shared" si="9"/>
        <v>5750000</v>
      </c>
      <c r="H47" s="84">
        <f t="shared" si="9"/>
        <v>5750000</v>
      </c>
      <c r="I47" s="84">
        <f t="shared" si="9"/>
        <v>671858901.54999995</v>
      </c>
      <c r="J47" s="84">
        <f t="shared" si="9"/>
        <v>231308527.4476378</v>
      </c>
      <c r="K47" s="84">
        <f t="shared" si="9"/>
        <v>671858901.54999995</v>
      </c>
      <c r="L47" s="84">
        <f t="shared" si="9"/>
        <v>0</v>
      </c>
      <c r="M47" s="84">
        <f t="shared" si="9"/>
        <v>231308527.4476378</v>
      </c>
      <c r="N47" s="84">
        <f t="shared" si="9"/>
        <v>0</v>
      </c>
    </row>
    <row r="48" spans="1:14" ht="18.2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2:14">
      <c r="B49" s="203" t="s">
        <v>283</v>
      </c>
      <c r="C49" s="203"/>
      <c r="D49" s="203"/>
      <c r="E49" s="203"/>
      <c r="F49" s="203"/>
      <c r="G49" s="203"/>
      <c r="H49" s="203"/>
      <c r="I49" s="203"/>
    </row>
    <row r="51" spans="2:14" ht="47.55">
      <c r="B51" s="38" t="s">
        <v>0</v>
      </c>
      <c r="C51" s="85" t="s">
        <v>82</v>
      </c>
      <c r="D51" s="85" t="s">
        <v>83</v>
      </c>
      <c r="E51" s="85" t="s">
        <v>84</v>
      </c>
      <c r="F51" s="85" t="s">
        <v>84</v>
      </c>
      <c r="G51" s="85" t="s">
        <v>84</v>
      </c>
      <c r="H51" s="85" t="s">
        <v>84</v>
      </c>
      <c r="I51" s="85" t="s">
        <v>84</v>
      </c>
      <c r="J51" s="85" t="s">
        <v>84</v>
      </c>
      <c r="K51" s="1"/>
      <c r="L51" s="1"/>
      <c r="M51" s="1"/>
      <c r="N51" s="1"/>
    </row>
    <row r="52" spans="2:14">
      <c r="B52" s="86"/>
      <c r="C52" s="87"/>
      <c r="D52" s="87"/>
      <c r="E52" s="87"/>
      <c r="F52" s="87"/>
      <c r="G52" s="87"/>
      <c r="H52" s="87"/>
      <c r="I52" s="87"/>
      <c r="J52" s="87"/>
      <c r="K52" s="1"/>
      <c r="L52" s="1"/>
      <c r="M52" s="1"/>
      <c r="N52" s="1"/>
    </row>
    <row r="53" spans="2:14" ht="15.4">
      <c r="B53" s="88" t="s">
        <v>73</v>
      </c>
      <c r="C53" s="87"/>
      <c r="D53" s="87"/>
      <c r="E53" s="87"/>
      <c r="F53" s="87"/>
      <c r="G53" s="87"/>
      <c r="H53" s="87"/>
      <c r="I53" s="87"/>
      <c r="J53" s="87"/>
      <c r="K53" s="1"/>
      <c r="L53" s="1"/>
      <c r="M53" s="1"/>
      <c r="N53" s="195" t="s">
        <v>200</v>
      </c>
    </row>
    <row r="56" spans="2:14" ht="15.4">
      <c r="B56" s="89"/>
    </row>
    <row r="66" spans="2:14" ht="17.5">
      <c r="B66" s="80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</row>
    <row r="67" spans="2:14" ht="17.5">
      <c r="B67" s="80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2:14" ht="17.5">
      <c r="B68" s="80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</row>
    <row r="69" spans="2:14" ht="17.5">
      <c r="B69" s="80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</row>
    <row r="70" spans="2:14" ht="17.5"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</row>
    <row r="71" spans="2:14" ht="17.5">
      <c r="B71" s="80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</row>
    <row r="72" spans="2:14" ht="17.5">
      <c r="B72" s="80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</row>
    <row r="73" spans="2:14" ht="17.5">
      <c r="B73" s="80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</row>
    <row r="74" spans="2:14" ht="17.5">
      <c r="B74" s="80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</row>
    <row r="75" spans="2:14" ht="17.5">
      <c r="B75" s="80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</row>
    <row r="76" spans="2:14" ht="17.5">
      <c r="B76" s="80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</row>
    <row r="77" spans="2:14" ht="17.5">
      <c r="B77" s="80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2:14" ht="17.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2:14" ht="17.5"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2:14" ht="17.5"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2:14" ht="17.5">
      <c r="B81" s="80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</sheetData>
  <mergeCells count="4">
    <mergeCell ref="B49:I49"/>
    <mergeCell ref="B1:N1"/>
    <mergeCell ref="J2:N2"/>
    <mergeCell ref="J4:N4"/>
  </mergeCells>
  <phoneticPr fontId="5" type="noConversion"/>
  <pageMargins left="0.47244094488188981" right="0.43307086614173229" top="0.45" bottom="0.42" header="0.31496062992125984" footer="0.31496062992125984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5"/>
  <sheetViews>
    <sheetView view="pageBreakPreview" zoomScale="60" workbookViewId="0">
      <selection activeCell="D2" sqref="D2:H2"/>
    </sheetView>
  </sheetViews>
  <sheetFormatPr defaultColWidth="9.125" defaultRowHeight="12.6"/>
  <cols>
    <col min="1" max="1" width="3.75" style="1" customWidth="1"/>
    <col min="2" max="2" width="73.125" style="1" customWidth="1"/>
    <col min="3" max="4" width="17.875" style="1" customWidth="1"/>
    <col min="5" max="8" width="21.25" style="1" customWidth="1"/>
    <col min="9" max="16384" width="9.125" style="1"/>
  </cols>
  <sheetData>
    <row r="1" spans="1:24">
      <c r="B1" s="201" t="s">
        <v>303</v>
      </c>
      <c r="C1" s="201"/>
      <c r="D1" s="201"/>
      <c r="E1" s="201"/>
      <c r="F1" s="201"/>
      <c r="G1" s="201"/>
      <c r="H1" s="201"/>
    </row>
    <row r="2" spans="1:24">
      <c r="B2" s="36"/>
      <c r="C2" s="36"/>
      <c r="D2" s="201" t="s">
        <v>317</v>
      </c>
      <c r="E2" s="201"/>
      <c r="F2" s="201"/>
      <c r="G2" s="201"/>
      <c r="H2" s="201"/>
    </row>
    <row r="3" spans="1:24" ht="27.3">
      <c r="B3" s="179" t="s">
        <v>285</v>
      </c>
    </row>
    <row r="4" spans="1:24" ht="20.3">
      <c r="B4" s="37"/>
      <c r="G4" s="1" t="s">
        <v>72</v>
      </c>
    </row>
    <row r="5" spans="1:24" ht="58.75">
      <c r="B5" s="47" t="s">
        <v>0</v>
      </c>
      <c r="C5" s="41" t="s">
        <v>1</v>
      </c>
      <c r="D5" s="41" t="s">
        <v>57</v>
      </c>
      <c r="E5" s="4" t="s">
        <v>61</v>
      </c>
      <c r="F5" s="4" t="s">
        <v>62</v>
      </c>
      <c r="G5" s="4" t="s">
        <v>64</v>
      </c>
      <c r="H5" s="4" t="s">
        <v>65</v>
      </c>
    </row>
    <row r="6" spans="1:24" ht="14">
      <c r="B6" s="41" t="s">
        <v>5</v>
      </c>
      <c r="C6" s="41" t="s">
        <v>6</v>
      </c>
      <c r="D6" s="41" t="s">
        <v>7</v>
      </c>
      <c r="E6" s="41" t="s">
        <v>8</v>
      </c>
      <c r="F6" s="41" t="s">
        <v>70</v>
      </c>
      <c r="G6" s="41" t="s">
        <v>10</v>
      </c>
      <c r="H6" s="41" t="s">
        <v>11</v>
      </c>
    </row>
    <row r="7" spans="1:24" ht="30.1" customHeight="1">
      <c r="A7" s="1">
        <v>1</v>
      </c>
      <c r="B7" s="6" t="s">
        <v>217</v>
      </c>
      <c r="C7" s="49">
        <f>1500000+1700000</f>
        <v>3200000</v>
      </c>
      <c r="D7" s="49">
        <f>1500000+1700000</f>
        <v>3200000</v>
      </c>
      <c r="E7" s="51"/>
      <c r="F7" s="49">
        <f t="shared" ref="F7:F12" si="0">C7</f>
        <v>3200000</v>
      </c>
      <c r="G7" s="49"/>
      <c r="H7" s="49">
        <f t="shared" ref="H7:H12" si="1">D7</f>
        <v>3200000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0.1" customHeight="1">
      <c r="A8" s="1">
        <v>2</v>
      </c>
      <c r="B8" s="6" t="s">
        <v>223</v>
      </c>
      <c r="C8" s="49">
        <v>37000000</v>
      </c>
      <c r="D8" s="49">
        <v>37000000</v>
      </c>
      <c r="E8" s="51"/>
      <c r="F8" s="49">
        <f t="shared" si="0"/>
        <v>37000000</v>
      </c>
      <c r="G8" s="49"/>
      <c r="H8" s="49">
        <f t="shared" si="1"/>
        <v>37000000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8">
      <c r="A9" s="1">
        <v>3</v>
      </c>
      <c r="B9" s="6" t="s">
        <v>118</v>
      </c>
      <c r="C9" s="49">
        <v>1800000</v>
      </c>
      <c r="D9" s="49">
        <v>1800000</v>
      </c>
      <c r="E9" s="51"/>
      <c r="F9" s="49">
        <f t="shared" si="0"/>
        <v>1800000</v>
      </c>
      <c r="G9" s="49"/>
      <c r="H9" s="49">
        <f t="shared" si="1"/>
        <v>1800000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9" customHeight="1">
      <c r="A10" s="1">
        <v>4</v>
      </c>
      <c r="B10" s="6" t="s">
        <v>119</v>
      </c>
      <c r="C10" s="49">
        <f>2000000+7000000+10500000</f>
        <v>19500000</v>
      </c>
      <c r="D10" s="49">
        <f>2000000+7000000+10500000</f>
        <v>19500000</v>
      </c>
      <c r="E10" s="51"/>
      <c r="F10" s="49">
        <f t="shared" si="0"/>
        <v>19500000</v>
      </c>
      <c r="G10" s="49"/>
      <c r="H10" s="49">
        <f t="shared" si="1"/>
        <v>19500000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8">
      <c r="A11" s="1">
        <v>5</v>
      </c>
      <c r="B11" s="6" t="s">
        <v>242</v>
      </c>
      <c r="C11" s="49"/>
      <c r="D11" s="49"/>
      <c r="E11" s="51"/>
      <c r="F11" s="49">
        <f t="shared" si="0"/>
        <v>0</v>
      </c>
      <c r="G11" s="49"/>
      <c r="H11" s="49">
        <f t="shared" si="1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8">
      <c r="A12" s="1">
        <v>6</v>
      </c>
      <c r="B12" s="6" t="s">
        <v>120</v>
      </c>
      <c r="C12" s="49"/>
      <c r="D12" s="49"/>
      <c r="E12" s="51"/>
      <c r="F12" s="49">
        <f t="shared" si="0"/>
        <v>0</v>
      </c>
      <c r="G12" s="49"/>
      <c r="H12" s="49">
        <f t="shared" si="1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2.35" customHeight="1">
      <c r="A13" s="1">
        <v>7</v>
      </c>
      <c r="B13" s="44" t="s">
        <v>87</v>
      </c>
      <c r="C13" s="51">
        <f t="shared" ref="C13:H13" si="2">SUM(C7:C12)</f>
        <v>61500000</v>
      </c>
      <c r="D13" s="51">
        <f t="shared" ref="D13" si="3">SUM(D7:D12)</f>
        <v>61500000</v>
      </c>
      <c r="E13" s="51">
        <f t="shared" si="2"/>
        <v>0</v>
      </c>
      <c r="F13" s="51">
        <f t="shared" si="2"/>
        <v>61500000</v>
      </c>
      <c r="G13" s="51">
        <f t="shared" si="2"/>
        <v>0</v>
      </c>
      <c r="H13" s="51">
        <f t="shared" si="2"/>
        <v>61500000</v>
      </c>
      <c r="I13" s="52"/>
      <c r="J13" s="52"/>
      <c r="K13" s="52"/>
      <c r="L13" s="52"/>
      <c r="M13" s="52"/>
      <c r="N13" s="52"/>
      <c r="O13" s="52"/>
      <c r="P13" s="52"/>
      <c r="Q13" s="92"/>
      <c r="R13" s="53"/>
      <c r="S13" s="53"/>
      <c r="T13" s="53"/>
      <c r="U13" s="53"/>
      <c r="V13" s="53"/>
      <c r="W13" s="53"/>
      <c r="X13" s="53"/>
    </row>
    <row r="14" spans="1:24" ht="32.35" customHeight="1">
      <c r="B14" s="93"/>
      <c r="C14" s="62"/>
      <c r="D14" s="62"/>
      <c r="E14" s="62"/>
      <c r="F14" s="62"/>
      <c r="G14" s="62"/>
      <c r="H14" s="62"/>
      <c r="I14" s="52"/>
      <c r="J14" s="52"/>
      <c r="K14" s="52"/>
      <c r="L14" s="52"/>
      <c r="M14" s="52"/>
      <c r="N14" s="52"/>
      <c r="O14" s="52"/>
      <c r="P14" s="52"/>
      <c r="Q14" s="92"/>
      <c r="R14" s="53"/>
      <c r="S14" s="53"/>
      <c r="T14" s="53"/>
      <c r="U14" s="53"/>
      <c r="V14" s="53"/>
      <c r="W14" s="53"/>
      <c r="X14" s="53"/>
    </row>
    <row r="15" spans="1:24" ht="58.75">
      <c r="B15" s="47" t="s">
        <v>0</v>
      </c>
      <c r="C15" s="41" t="s">
        <v>1</v>
      </c>
      <c r="D15" s="41" t="s">
        <v>57</v>
      </c>
      <c r="E15" s="4" t="s">
        <v>61</v>
      </c>
      <c r="F15" s="4" t="s">
        <v>62</v>
      </c>
      <c r="G15" s="4" t="s">
        <v>64</v>
      </c>
      <c r="H15" s="4" t="s">
        <v>65</v>
      </c>
    </row>
    <row r="16" spans="1:24" ht="14">
      <c r="B16" s="47" t="s">
        <v>5</v>
      </c>
      <c r="C16" s="41" t="s">
        <v>6</v>
      </c>
      <c r="D16" s="41" t="s">
        <v>7</v>
      </c>
      <c r="E16" s="41" t="s">
        <v>8</v>
      </c>
      <c r="F16" s="41" t="s">
        <v>70</v>
      </c>
      <c r="G16" s="41" t="s">
        <v>10</v>
      </c>
      <c r="H16" s="41" t="s">
        <v>11</v>
      </c>
    </row>
    <row r="17" spans="1:24" ht="16.8">
      <c r="A17" s="1">
        <v>1</v>
      </c>
      <c r="B17" s="6" t="s">
        <v>218</v>
      </c>
      <c r="C17" s="49"/>
      <c r="D17" s="49"/>
      <c r="E17" s="51"/>
      <c r="F17" s="49">
        <f>C17</f>
        <v>0</v>
      </c>
      <c r="G17" s="49"/>
      <c r="H17" s="49">
        <f>D17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8">
      <c r="A18" s="1">
        <v>2</v>
      </c>
      <c r="B18" s="6" t="s">
        <v>121</v>
      </c>
      <c r="C18" s="49"/>
      <c r="D18" s="49"/>
      <c r="E18" s="51"/>
      <c r="F18" s="49">
        <f>C18</f>
        <v>0</v>
      </c>
      <c r="G18" s="49"/>
      <c r="H18" s="49">
        <f>D18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8">
      <c r="A19" s="1">
        <v>3</v>
      </c>
      <c r="B19" s="6" t="s">
        <v>122</v>
      </c>
      <c r="C19" s="49"/>
      <c r="D19" s="49"/>
      <c r="E19" s="51"/>
      <c r="F19" s="49">
        <f>C19</f>
        <v>0</v>
      </c>
      <c r="G19" s="49"/>
      <c r="H19" s="49">
        <f>D19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8">
      <c r="A20" s="1">
        <v>4</v>
      </c>
      <c r="B20" s="6" t="s">
        <v>123</v>
      </c>
      <c r="C20" s="49"/>
      <c r="D20" s="49"/>
      <c r="E20" s="51"/>
      <c r="F20" s="49">
        <f>C20</f>
        <v>0</v>
      </c>
      <c r="G20" s="49"/>
      <c r="H20" s="49">
        <f>D20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8">
      <c r="A21" s="1">
        <v>5</v>
      </c>
      <c r="B21" s="6" t="s">
        <v>168</v>
      </c>
      <c r="C21" s="49"/>
      <c r="D21" s="49"/>
      <c r="E21" s="51"/>
      <c r="F21" s="49">
        <f>C21</f>
        <v>0</v>
      </c>
      <c r="G21" s="49"/>
      <c r="H21" s="49">
        <f>D21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.049999999999997" customHeight="1">
      <c r="A22" s="1">
        <v>6</v>
      </c>
      <c r="B22" s="44" t="s">
        <v>88</v>
      </c>
      <c r="C22" s="51">
        <f t="shared" ref="C22:H22" si="4">SUM(C17:C21)</f>
        <v>0</v>
      </c>
      <c r="D22" s="51">
        <f t="shared" si="4"/>
        <v>0</v>
      </c>
      <c r="E22" s="51">
        <f t="shared" si="4"/>
        <v>0</v>
      </c>
      <c r="F22" s="51">
        <f t="shared" si="4"/>
        <v>0</v>
      </c>
      <c r="G22" s="51">
        <f t="shared" si="4"/>
        <v>0</v>
      </c>
      <c r="H22" s="51">
        <f t="shared" si="4"/>
        <v>0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94"/>
      <c r="T22" s="94"/>
      <c r="U22" s="94"/>
      <c r="V22" s="94"/>
      <c r="W22" s="94"/>
      <c r="X22" s="94"/>
    </row>
    <row r="23" spans="1:24" ht="14">
      <c r="B23" s="95"/>
      <c r="H23" s="195" t="s">
        <v>200</v>
      </c>
    </row>
    <row r="24" spans="1:24" ht="14">
      <c r="B24" s="95"/>
    </row>
    <row r="25" spans="1:24" ht="14">
      <c r="B25" s="95"/>
    </row>
    <row r="26" spans="1:24" ht="14">
      <c r="B26" s="95"/>
    </row>
    <row r="27" spans="1:24" ht="14">
      <c r="B27" s="95"/>
    </row>
    <row r="28" spans="1:24" ht="14">
      <c r="B28" s="95"/>
    </row>
    <row r="29" spans="1:24" ht="14">
      <c r="B29" s="95"/>
    </row>
    <row r="30" spans="1:24" ht="14">
      <c r="B30" s="95"/>
    </row>
    <row r="31" spans="1:24" ht="14">
      <c r="B31" s="95"/>
    </row>
    <row r="32" spans="1:24" ht="14">
      <c r="B32" s="95"/>
    </row>
    <row r="33" spans="2:2" ht="14">
      <c r="B33" s="95"/>
    </row>
    <row r="34" spans="2:2" ht="14">
      <c r="B34" s="95"/>
    </row>
    <row r="35" spans="2:2" ht="14">
      <c r="B35" s="95"/>
    </row>
  </sheetData>
  <mergeCells count="2">
    <mergeCell ref="B1:H1"/>
    <mergeCell ref="D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14"/>
  <sheetViews>
    <sheetView view="pageBreakPreview" zoomScale="60" zoomScaleNormal="75" workbookViewId="0">
      <selection activeCell="E2" sqref="E2:H2"/>
    </sheetView>
  </sheetViews>
  <sheetFormatPr defaultColWidth="9.125" defaultRowHeight="12.6"/>
  <cols>
    <col min="1" max="1" width="9.125" style="1" customWidth="1"/>
    <col min="2" max="2" width="73.125" style="1" customWidth="1"/>
    <col min="3" max="4" width="17.875" style="1" customWidth="1"/>
    <col min="5" max="8" width="21.25" style="1" customWidth="1"/>
    <col min="9" max="16384" width="9.125" style="1"/>
  </cols>
  <sheetData>
    <row r="1" spans="1:24">
      <c r="B1" s="201" t="s">
        <v>304</v>
      </c>
      <c r="C1" s="201"/>
      <c r="D1" s="201"/>
      <c r="E1" s="201"/>
      <c r="F1" s="201"/>
      <c r="G1" s="201"/>
      <c r="H1" s="201"/>
    </row>
    <row r="2" spans="1:24">
      <c r="B2" s="36"/>
      <c r="C2" s="36"/>
      <c r="D2" s="36"/>
      <c r="E2" s="204" t="s">
        <v>318</v>
      </c>
      <c r="F2" s="204"/>
      <c r="G2" s="204"/>
      <c r="H2" s="204"/>
    </row>
    <row r="3" spans="1:24" ht="27.3">
      <c r="B3" s="179" t="s">
        <v>284</v>
      </c>
    </row>
    <row r="4" spans="1:24" ht="20.3">
      <c r="B4" s="37"/>
      <c r="G4" s="1" t="s">
        <v>72</v>
      </c>
    </row>
    <row r="5" spans="1:24" ht="58.75">
      <c r="B5" s="47" t="s">
        <v>0</v>
      </c>
      <c r="C5" s="41" t="s">
        <v>1</v>
      </c>
      <c r="D5" s="41" t="s">
        <v>57</v>
      </c>
      <c r="E5" s="4" t="s">
        <v>61</v>
      </c>
      <c r="F5" s="4" t="s">
        <v>62</v>
      </c>
      <c r="G5" s="4" t="s">
        <v>64</v>
      </c>
      <c r="H5" s="4" t="s">
        <v>65</v>
      </c>
    </row>
    <row r="6" spans="1:24" ht="14">
      <c r="B6" s="41" t="s">
        <v>5</v>
      </c>
      <c r="C6" s="41" t="s">
        <v>6</v>
      </c>
      <c r="D6" s="41" t="s">
        <v>7</v>
      </c>
      <c r="E6" s="41" t="s">
        <v>8</v>
      </c>
      <c r="F6" s="41" t="s">
        <v>70</v>
      </c>
      <c r="G6" s="41" t="s">
        <v>10</v>
      </c>
      <c r="H6" s="41" t="s">
        <v>11</v>
      </c>
    </row>
    <row r="7" spans="1:24" ht="16.8">
      <c r="A7" s="1">
        <v>1</v>
      </c>
      <c r="B7" s="96" t="s">
        <v>164</v>
      </c>
      <c r="C7" s="49">
        <v>0</v>
      </c>
      <c r="D7" s="49">
        <v>0</v>
      </c>
      <c r="E7" s="49">
        <f>C7</f>
        <v>0</v>
      </c>
      <c r="F7" s="49"/>
      <c r="G7" s="49">
        <f>D7</f>
        <v>0</v>
      </c>
      <c r="H7" s="4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8">
      <c r="A8" s="1">
        <v>2</v>
      </c>
      <c r="B8" s="96" t="s">
        <v>165</v>
      </c>
      <c r="C8" s="49">
        <v>1200000</v>
      </c>
      <c r="D8" s="49">
        <v>1200000</v>
      </c>
      <c r="E8" s="49">
        <f>C8</f>
        <v>1200000</v>
      </c>
      <c r="F8" s="49"/>
      <c r="G8" s="49">
        <f>D8</f>
        <v>1200000</v>
      </c>
      <c r="H8" s="4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8">
      <c r="A9" s="1">
        <v>3</v>
      </c>
      <c r="B9" s="96" t="s">
        <v>124</v>
      </c>
      <c r="C9" s="49">
        <v>0</v>
      </c>
      <c r="D9" s="49">
        <v>0</v>
      </c>
      <c r="E9" s="49">
        <f>C9</f>
        <v>0</v>
      </c>
      <c r="F9" s="49"/>
      <c r="G9" s="49">
        <f>D9</f>
        <v>0</v>
      </c>
      <c r="H9" s="4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8">
      <c r="A10" s="1">
        <v>4</v>
      </c>
      <c r="B10" s="96" t="s">
        <v>162</v>
      </c>
      <c r="C10" s="49">
        <v>1000000</v>
      </c>
      <c r="D10" s="49">
        <v>1000000</v>
      </c>
      <c r="E10" s="49">
        <f>C10</f>
        <v>1000000</v>
      </c>
      <c r="F10" s="51"/>
      <c r="G10" s="49">
        <f>D10</f>
        <v>1000000</v>
      </c>
      <c r="H10" s="5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4.450000000000003" customHeight="1">
      <c r="A11" s="1">
        <v>5</v>
      </c>
      <c r="B11" s="44" t="s">
        <v>163</v>
      </c>
      <c r="C11" s="51">
        <f t="shared" ref="C11:H11" si="0">SUM(C7:C10)</f>
        <v>2200000</v>
      </c>
      <c r="D11" s="51">
        <f t="shared" si="0"/>
        <v>2200000</v>
      </c>
      <c r="E11" s="51">
        <f t="shared" si="0"/>
        <v>2200000</v>
      </c>
      <c r="F11" s="51">
        <f t="shared" si="0"/>
        <v>0</v>
      </c>
      <c r="G11" s="51">
        <f t="shared" si="0"/>
        <v>2200000</v>
      </c>
      <c r="H11" s="51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">
      <c r="B12" s="95"/>
      <c r="H12" s="195" t="s">
        <v>200</v>
      </c>
    </row>
    <row r="13" spans="1:24" ht="14">
      <c r="B13" s="95"/>
    </row>
    <row r="14" spans="1:24" ht="14">
      <c r="B14" s="95"/>
    </row>
  </sheetData>
  <mergeCells count="2">
    <mergeCell ref="B1:H1"/>
    <mergeCell ref="E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10</vt:i4>
      </vt:variant>
    </vt:vector>
  </HeadingPairs>
  <TitlesOfParts>
    <vt:vector size="23" baseType="lpstr">
      <vt:lpstr>11 ktgvetési mérleg</vt:lpstr>
      <vt:lpstr>1 bevétel-kiadás</vt:lpstr>
      <vt:lpstr>2 helyi adó bev.</vt:lpstr>
      <vt:lpstr>3 tám.ért. bev.</vt:lpstr>
      <vt:lpstr>4 ktgvetési tám. bev.</vt:lpstr>
      <vt:lpstr>5 EU-s pr. bev-kiad.</vt:lpstr>
      <vt:lpstr>6 Ber-Felúj. kiad.</vt:lpstr>
      <vt:lpstr>7 átadott pénzeszk.</vt:lpstr>
      <vt:lpstr>8 ellátotak jutt.</vt:lpstr>
      <vt:lpstr>9 létszám</vt:lpstr>
      <vt:lpstr>10 közvetett tám-ok kiad.</vt:lpstr>
      <vt:lpstr>12 EI felh.terv</vt:lpstr>
      <vt:lpstr>Munka1</vt:lpstr>
      <vt:lpstr>'1 bevétel-kiadás'!Nyomtatási_terület</vt:lpstr>
      <vt:lpstr>'10 közvetett tám-ok kiad.'!Nyomtatási_terület</vt:lpstr>
      <vt:lpstr>'11 ktgvetési mérleg'!Nyomtatási_terület</vt:lpstr>
      <vt:lpstr>'12 EI felh.terv'!Nyomtatási_terület</vt:lpstr>
      <vt:lpstr>'2 helyi adó bev.'!Nyomtatási_terület</vt:lpstr>
      <vt:lpstr>'3 tám.ért. bev.'!Nyomtatási_terület</vt:lpstr>
      <vt:lpstr>'4 ktgvetési tám. bev.'!Nyomtatási_terület</vt:lpstr>
      <vt:lpstr>'5 EU-s pr. bev-kiad.'!Nyomtatási_terület</vt:lpstr>
      <vt:lpstr>'7 átadott pénzeszk.'!Nyomtatási_terület</vt:lpstr>
      <vt:lpstr>'8 ellátotak jutt.'!Nyomtatási_terület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itretyko</cp:lastModifiedBy>
  <cp:lastPrinted>2024-02-14T11:17:15Z</cp:lastPrinted>
  <dcterms:created xsi:type="dcterms:W3CDTF">2013-02-08T06:30:04Z</dcterms:created>
  <dcterms:modified xsi:type="dcterms:W3CDTF">2024-09-24T06:49:36Z</dcterms:modified>
</cp:coreProperties>
</file>