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1.Jegyzokonyvek KT ulesek\Jegyzokonyvek2024\0222 8-\2023 évi kötségvetés 1.sz. mód. és egységes szerkezet\"/>
    </mc:Choice>
  </mc:AlternateContent>
  <xr:revisionPtr revIDLastSave="0" documentId="13_ncr:1_{F282E220-3FF5-43CE-82F0-2F7DB38FBA7B}" xr6:coauthVersionLast="47" xr6:coauthVersionMax="47" xr10:uidLastSave="{00000000-0000-0000-0000-000000000000}"/>
  <bookViews>
    <workbookView xWindow="-120" yWindow="-120" windowWidth="24240" windowHeight="13140" tabRatio="808" firstSheet="1" activeTab="6" xr2:uid="{00000000-000D-0000-FFFF-FFFF00000000}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externalReferences>
    <externalReference r:id="rId14"/>
  </externalReferences>
  <definedNames>
    <definedName name="_xlnm.Print_Area" localSheetId="1">'1 bevétel-kiadás'!$A$1:$P$68</definedName>
    <definedName name="_xlnm.Print_Area" localSheetId="4">'4 ktgvetési tám. bev.'!$A$1:$F$32</definedName>
  </definedNames>
  <calcPr calcId="181029"/>
</workbook>
</file>

<file path=xl/calcChain.xml><?xml version="1.0" encoding="utf-8"?>
<calcChain xmlns="http://schemas.openxmlformats.org/spreadsheetml/2006/main">
  <c r="O20" i="12" l="1"/>
  <c r="O19" i="12"/>
  <c r="O18" i="12"/>
  <c r="O17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O21" i="12"/>
  <c r="N17" i="12"/>
  <c r="N21" i="12" s="1"/>
  <c r="M17" i="12"/>
  <c r="M21" i="12" s="1"/>
  <c r="L17" i="12"/>
  <c r="L21" i="12" s="1"/>
  <c r="K17" i="12"/>
  <c r="K21" i="12" s="1"/>
  <c r="J17" i="12"/>
  <c r="J21" i="12" s="1"/>
  <c r="I17" i="12"/>
  <c r="I21" i="12" s="1"/>
  <c r="H17" i="12"/>
  <c r="H21" i="12" s="1"/>
  <c r="G17" i="12"/>
  <c r="G21" i="12" s="1"/>
  <c r="F17" i="12"/>
  <c r="F21" i="12" s="1"/>
  <c r="E17" i="12"/>
  <c r="E21" i="12" s="1"/>
  <c r="D17" i="12"/>
  <c r="D21" i="12" s="1"/>
  <c r="C17" i="12"/>
  <c r="C21" i="12" s="1"/>
  <c r="C24" i="14"/>
  <c r="C23" i="14"/>
  <c r="C19" i="14"/>
  <c r="C8" i="14"/>
  <c r="C7" i="14"/>
  <c r="D7" i="7"/>
  <c r="M10" i="6"/>
  <c r="M11" i="6"/>
  <c r="M12" i="6"/>
  <c r="M13" i="6"/>
  <c r="M14" i="6"/>
  <c r="M15" i="6"/>
  <c r="M16" i="6"/>
  <c r="M17" i="6"/>
  <c r="M18" i="6"/>
  <c r="M19" i="6"/>
  <c r="M20" i="6"/>
  <c r="M35" i="6" s="1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J10" i="6"/>
  <c r="J35" i="6" s="1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5" i="6"/>
  <c r="I33" i="6"/>
  <c r="I34" i="6"/>
  <c r="I40" i="6"/>
  <c r="I41" i="6"/>
  <c r="I42" i="6"/>
  <c r="I43" i="6"/>
  <c r="I44" i="6"/>
  <c r="D35" i="6"/>
  <c r="E35" i="6"/>
  <c r="F35" i="6"/>
  <c r="G35" i="6"/>
  <c r="H35" i="6"/>
  <c r="K35" i="6"/>
  <c r="L35" i="6"/>
  <c r="N35" i="6"/>
  <c r="H28" i="6"/>
  <c r="M41" i="6"/>
  <c r="M42" i="6"/>
  <c r="M43" i="6"/>
  <c r="M44" i="6"/>
  <c r="K43" i="6"/>
  <c r="K44" i="6"/>
  <c r="J41" i="6"/>
  <c r="J42" i="6"/>
  <c r="J43" i="6"/>
  <c r="J44" i="6"/>
  <c r="D45" i="6"/>
  <c r="D9" i="6"/>
  <c r="E9" i="5" l="1"/>
  <c r="G21" i="3" l="1"/>
  <c r="G22" i="3"/>
  <c r="G23" i="3"/>
  <c r="G24" i="3"/>
  <c r="G25" i="3"/>
  <c r="G26" i="3"/>
  <c r="D11" i="3"/>
  <c r="D17" i="1"/>
  <c r="F27" i="4"/>
  <c r="F28" i="4"/>
  <c r="F29" i="4"/>
  <c r="F30" i="4"/>
  <c r="F26" i="4"/>
  <c r="F31" i="4" s="1"/>
  <c r="D31" i="4"/>
  <c r="E31" i="4"/>
  <c r="C31" i="4"/>
  <c r="D22" i="4" l="1"/>
  <c r="F20" i="4"/>
  <c r="E20" i="4"/>
  <c r="D19" i="4"/>
  <c r="F17" i="4"/>
  <c r="F15" i="4"/>
  <c r="E15" i="4"/>
  <c r="F13" i="4"/>
  <c r="E13" i="4"/>
  <c r="D8" i="4"/>
  <c r="D9" i="3"/>
  <c r="G31" i="11"/>
  <c r="F29" i="11"/>
  <c r="G29" i="11"/>
  <c r="O63" i="1"/>
  <c r="M63" i="1"/>
  <c r="L63" i="1"/>
  <c r="K63" i="1"/>
  <c r="D11" i="1"/>
  <c r="D16" i="1"/>
  <c r="C42" i="6"/>
  <c r="K41" i="6"/>
  <c r="K42" i="6" l="1"/>
  <c r="C45" i="6"/>
  <c r="D11" i="9" l="1"/>
  <c r="F8" i="7"/>
  <c r="H8" i="7"/>
  <c r="G30" i="6"/>
  <c r="G29" i="6"/>
  <c r="C16" i="6"/>
  <c r="C15" i="6"/>
  <c r="C14" i="6"/>
  <c r="C13" i="6"/>
  <c r="C11" i="6"/>
  <c r="C10" i="6"/>
  <c r="D10" i="5"/>
  <c r="D11" i="5"/>
  <c r="C11" i="5"/>
  <c r="C22" i="4" l="1"/>
  <c r="C19" i="4"/>
  <c r="C8" i="4"/>
  <c r="C11" i="3" l="1"/>
  <c r="D9" i="7" l="1"/>
  <c r="D46" i="6"/>
  <c r="I9" i="6"/>
  <c r="E17" i="4"/>
  <c r="D25" i="3"/>
  <c r="D26" i="3"/>
  <c r="D12" i="3"/>
  <c r="O28" i="1"/>
  <c r="M28" i="1"/>
  <c r="L28" i="1"/>
  <c r="D25" i="11" s="1"/>
  <c r="K28" i="1"/>
  <c r="C25" i="11" s="1"/>
  <c r="J29" i="1"/>
  <c r="F17" i="1"/>
  <c r="F29" i="1"/>
  <c r="D11" i="2" l="1"/>
  <c r="C34" i="6"/>
  <c r="P11" i="9"/>
  <c r="N11" i="9"/>
  <c r="J11" i="9"/>
  <c r="I11" i="9"/>
  <c r="H11" i="9"/>
  <c r="G11" i="9"/>
  <c r="F11" i="9"/>
  <c r="E11" i="9"/>
  <c r="C11" i="9"/>
  <c r="M10" i="9"/>
  <c r="L10" i="9"/>
  <c r="O10" i="9" s="1"/>
  <c r="K10" i="9"/>
  <c r="M9" i="9"/>
  <c r="L9" i="9"/>
  <c r="L11" i="9" s="1"/>
  <c r="K9" i="9"/>
  <c r="K11" i="9" l="1"/>
  <c r="M11" i="9"/>
  <c r="O9" i="9"/>
  <c r="O11" i="9" s="1"/>
  <c r="J27" i="3" l="1"/>
  <c r="H27" i="3"/>
  <c r="F27" i="3"/>
  <c r="E27" i="3"/>
  <c r="D27" i="3"/>
  <c r="C27" i="3"/>
  <c r="I26" i="3"/>
  <c r="I25" i="3"/>
  <c r="I24" i="3"/>
  <c r="I23" i="3"/>
  <c r="I22" i="3"/>
  <c r="I21" i="3"/>
  <c r="I20" i="3"/>
  <c r="G20" i="3"/>
  <c r="J14" i="3"/>
  <c r="H14" i="3"/>
  <c r="F14" i="3"/>
  <c r="E14" i="3"/>
  <c r="D14" i="3"/>
  <c r="C14" i="3"/>
  <c r="I13" i="3"/>
  <c r="G13" i="3"/>
  <c r="I12" i="3"/>
  <c r="G12" i="3"/>
  <c r="I11" i="3"/>
  <c r="G11" i="3"/>
  <c r="I10" i="3"/>
  <c r="G10" i="3"/>
  <c r="I9" i="3"/>
  <c r="G9" i="3"/>
  <c r="I8" i="3"/>
  <c r="G8" i="3"/>
  <c r="I27" i="3" l="1"/>
  <c r="E29" i="3"/>
  <c r="J29" i="3"/>
  <c r="H29" i="3"/>
  <c r="G27" i="3"/>
  <c r="I14" i="3"/>
  <c r="F29" i="3"/>
  <c r="G14" i="3"/>
  <c r="C29" i="3"/>
  <c r="D29" i="3"/>
  <c r="I29" i="3" l="1"/>
  <c r="G29" i="3"/>
  <c r="D10" i="11"/>
  <c r="C10" i="11"/>
  <c r="D13" i="11"/>
  <c r="C11" i="11"/>
  <c r="O64" i="1"/>
  <c r="M64" i="1"/>
  <c r="L64" i="1"/>
  <c r="G30" i="11" s="1"/>
  <c r="K64" i="1"/>
  <c r="F30" i="11" s="1"/>
  <c r="P61" i="1"/>
  <c r="O60" i="1"/>
  <c r="M60" i="1"/>
  <c r="L60" i="1"/>
  <c r="K60" i="1"/>
  <c r="O59" i="1"/>
  <c r="M59" i="1"/>
  <c r="L59" i="1"/>
  <c r="K59" i="1"/>
  <c r="O58" i="1"/>
  <c r="M58" i="1"/>
  <c r="L58" i="1"/>
  <c r="L57" i="1" s="1"/>
  <c r="G25" i="11" s="1"/>
  <c r="K58" i="1"/>
  <c r="F26" i="11" s="1"/>
  <c r="N57" i="1"/>
  <c r="N61" i="1" s="1"/>
  <c r="J57" i="1"/>
  <c r="J61" i="1" s="1"/>
  <c r="I57" i="1"/>
  <c r="I61" i="1" s="1"/>
  <c r="H57" i="1"/>
  <c r="H61" i="1" s="1"/>
  <c r="G57" i="1"/>
  <c r="G61" i="1" s="1"/>
  <c r="F57" i="1"/>
  <c r="F61" i="1" s="1"/>
  <c r="E57" i="1"/>
  <c r="E61" i="1" s="1"/>
  <c r="D57" i="1"/>
  <c r="C57" i="1"/>
  <c r="O53" i="1"/>
  <c r="M53" i="1"/>
  <c r="L53" i="1"/>
  <c r="G21" i="11" s="1"/>
  <c r="K53" i="1"/>
  <c r="F21" i="11" s="1"/>
  <c r="O52" i="1"/>
  <c r="M52" i="1"/>
  <c r="L52" i="1"/>
  <c r="K52" i="1"/>
  <c r="N51" i="1"/>
  <c r="J51" i="1"/>
  <c r="I51" i="1"/>
  <c r="H51" i="1"/>
  <c r="G51" i="1"/>
  <c r="F51" i="1"/>
  <c r="E51" i="1"/>
  <c r="D51" i="1"/>
  <c r="C51" i="1"/>
  <c r="O50" i="1"/>
  <c r="M50" i="1"/>
  <c r="L50" i="1"/>
  <c r="G18" i="11" s="1"/>
  <c r="K50" i="1"/>
  <c r="F18" i="11" s="1"/>
  <c r="P49" i="1"/>
  <c r="P44" i="1" s="1"/>
  <c r="P54" i="1" s="1"/>
  <c r="O49" i="1"/>
  <c r="N49" i="1"/>
  <c r="N44" i="1" s="1"/>
  <c r="L49" i="1"/>
  <c r="G17" i="11" s="1"/>
  <c r="K49" i="1"/>
  <c r="F17" i="11" s="1"/>
  <c r="O48" i="1"/>
  <c r="L48" i="1"/>
  <c r="G16" i="11" s="1"/>
  <c r="K48" i="1"/>
  <c r="O47" i="1"/>
  <c r="L47" i="1"/>
  <c r="G15" i="11" s="1"/>
  <c r="K47" i="1"/>
  <c r="F15" i="11" s="1"/>
  <c r="O46" i="1"/>
  <c r="M46" i="1"/>
  <c r="L46" i="1"/>
  <c r="G14" i="11" s="1"/>
  <c r="K46" i="1"/>
  <c r="F14" i="11" s="1"/>
  <c r="O45" i="1"/>
  <c r="M45" i="1"/>
  <c r="L45" i="1"/>
  <c r="G13" i="11" s="1"/>
  <c r="K45" i="1"/>
  <c r="F13" i="11" s="1"/>
  <c r="J44" i="1"/>
  <c r="I44" i="1"/>
  <c r="H44" i="1"/>
  <c r="G44" i="1"/>
  <c r="F44" i="1"/>
  <c r="E44" i="1"/>
  <c r="D44" i="1"/>
  <c r="C44" i="1"/>
  <c r="D43" i="1"/>
  <c r="O43" i="1" s="1"/>
  <c r="C43" i="1"/>
  <c r="M43" i="1" s="1"/>
  <c r="O42" i="1"/>
  <c r="M42" i="1"/>
  <c r="L42" i="1"/>
  <c r="G10" i="11" s="1"/>
  <c r="K42" i="1"/>
  <c r="F10" i="11" s="1"/>
  <c r="O41" i="1"/>
  <c r="M41" i="1"/>
  <c r="L41" i="1"/>
  <c r="G9" i="11" s="1"/>
  <c r="K41" i="1"/>
  <c r="F9" i="11" s="1"/>
  <c r="O40" i="1"/>
  <c r="M40" i="1"/>
  <c r="L40" i="1"/>
  <c r="G8" i="11" s="1"/>
  <c r="K40" i="1"/>
  <c r="F8" i="11" s="1"/>
  <c r="O32" i="1"/>
  <c r="M32" i="1"/>
  <c r="L32" i="1"/>
  <c r="K32" i="1"/>
  <c r="O30" i="1"/>
  <c r="M30" i="1"/>
  <c r="L30" i="1"/>
  <c r="D27" i="11" s="1"/>
  <c r="K30" i="1"/>
  <c r="C27" i="11" s="1"/>
  <c r="O29" i="1"/>
  <c r="M29" i="1"/>
  <c r="L29" i="1"/>
  <c r="D26" i="11" s="1"/>
  <c r="K29" i="1"/>
  <c r="C26" i="11" s="1"/>
  <c r="J26" i="1"/>
  <c r="I26" i="1"/>
  <c r="H26" i="1"/>
  <c r="G26" i="1"/>
  <c r="F26" i="1"/>
  <c r="E26" i="1"/>
  <c r="D26" i="1"/>
  <c r="C26" i="1"/>
  <c r="O25" i="1"/>
  <c r="M25" i="1"/>
  <c r="L25" i="1"/>
  <c r="K25" i="1"/>
  <c r="O24" i="1"/>
  <c r="M24" i="1"/>
  <c r="L24" i="1"/>
  <c r="D22" i="11" s="1"/>
  <c r="K24" i="1"/>
  <c r="C22" i="11" s="1"/>
  <c r="O23" i="1"/>
  <c r="M23" i="1"/>
  <c r="L23" i="1"/>
  <c r="D21" i="11" s="1"/>
  <c r="K23" i="1"/>
  <c r="C21" i="11" s="1"/>
  <c r="O22" i="1"/>
  <c r="M22" i="1"/>
  <c r="L22" i="1"/>
  <c r="D20" i="11" s="1"/>
  <c r="K22" i="1"/>
  <c r="C20" i="11" s="1"/>
  <c r="O21" i="1"/>
  <c r="M21" i="1"/>
  <c r="L21" i="1"/>
  <c r="D19" i="11" s="1"/>
  <c r="K21" i="1"/>
  <c r="C19" i="11" s="1"/>
  <c r="O19" i="1"/>
  <c r="M19" i="1"/>
  <c r="L19" i="1"/>
  <c r="D17" i="11" s="1"/>
  <c r="K19" i="1"/>
  <c r="C17" i="11" s="1"/>
  <c r="O18" i="1"/>
  <c r="M18" i="1"/>
  <c r="L18" i="1"/>
  <c r="D16" i="11" s="1"/>
  <c r="K18" i="1"/>
  <c r="C16" i="11" s="1"/>
  <c r="O17" i="1"/>
  <c r="M17" i="1"/>
  <c r="L17" i="1"/>
  <c r="D15" i="11" s="1"/>
  <c r="K17" i="1"/>
  <c r="C15" i="11" s="1"/>
  <c r="O16" i="1"/>
  <c r="M16" i="1"/>
  <c r="L16" i="1"/>
  <c r="D14" i="11" s="1"/>
  <c r="K16" i="1"/>
  <c r="C14" i="11" s="1"/>
  <c r="O15" i="1"/>
  <c r="M15" i="1"/>
  <c r="L15" i="1"/>
  <c r="K15" i="1"/>
  <c r="O14" i="1"/>
  <c r="M14" i="1"/>
  <c r="L14" i="1"/>
  <c r="K14" i="1"/>
  <c r="O13" i="1"/>
  <c r="M13" i="1"/>
  <c r="L13" i="1"/>
  <c r="D12" i="11" s="1"/>
  <c r="K13" i="1"/>
  <c r="C12" i="11" s="1"/>
  <c r="O12" i="1"/>
  <c r="M12" i="1"/>
  <c r="L12" i="1"/>
  <c r="K12" i="1"/>
  <c r="O11" i="1"/>
  <c r="M11" i="1"/>
  <c r="L11" i="1"/>
  <c r="K11" i="1"/>
  <c r="J10" i="1"/>
  <c r="J20" i="1" s="1"/>
  <c r="I10" i="1"/>
  <c r="I20" i="1" s="1"/>
  <c r="H10" i="1"/>
  <c r="H20" i="1" s="1"/>
  <c r="G10" i="1"/>
  <c r="G20" i="1" s="1"/>
  <c r="F10" i="1"/>
  <c r="F20" i="1" s="1"/>
  <c r="E10" i="1"/>
  <c r="E20" i="1" s="1"/>
  <c r="D10" i="1"/>
  <c r="D20" i="1" s="1"/>
  <c r="C10" i="1"/>
  <c r="M10" i="1" s="1"/>
  <c r="O9" i="1"/>
  <c r="M9" i="1"/>
  <c r="L9" i="1"/>
  <c r="D8" i="11" s="1"/>
  <c r="K9" i="1"/>
  <c r="C8" i="11" s="1"/>
  <c r="M57" i="1" l="1"/>
  <c r="K51" i="1"/>
  <c r="L51" i="1"/>
  <c r="M51" i="1"/>
  <c r="E54" i="1"/>
  <c r="E62" i="1" s="1"/>
  <c r="E65" i="1" s="1"/>
  <c r="O9" i="12" s="1"/>
  <c r="G54" i="1"/>
  <c r="G62" i="1" s="1"/>
  <c r="G65" i="1" s="1"/>
  <c r="O10" i="12" s="1"/>
  <c r="H54" i="1"/>
  <c r="H62" i="1" s="1"/>
  <c r="H65" i="1" s="1"/>
  <c r="K57" i="1"/>
  <c r="F25" i="11" s="1"/>
  <c r="O44" i="1"/>
  <c r="I54" i="1"/>
  <c r="I62" i="1" s="1"/>
  <c r="I65" i="1" s="1"/>
  <c r="O11" i="12" s="1"/>
  <c r="K44" i="1"/>
  <c r="F54" i="1"/>
  <c r="F62" i="1" s="1"/>
  <c r="F65" i="1" s="1"/>
  <c r="J54" i="1"/>
  <c r="J62" i="1" s="1"/>
  <c r="J65" i="1" s="1"/>
  <c r="D9" i="11"/>
  <c r="D18" i="11" s="1"/>
  <c r="F16" i="11"/>
  <c r="F12" i="11" s="1"/>
  <c r="M48" i="1"/>
  <c r="M44" i="1" s="1"/>
  <c r="M54" i="1" s="1"/>
  <c r="G26" i="11"/>
  <c r="C23" i="11"/>
  <c r="C9" i="11"/>
  <c r="C18" i="11" s="1"/>
  <c r="G20" i="11"/>
  <c r="G19" i="11" s="1"/>
  <c r="F27" i="1"/>
  <c r="F31" i="1" s="1"/>
  <c r="F20" i="11"/>
  <c r="F19" i="11" s="1"/>
  <c r="G12" i="11"/>
  <c r="D23" i="11"/>
  <c r="D27" i="1"/>
  <c r="D31" i="1" s="1"/>
  <c r="O57" i="1"/>
  <c r="L44" i="1"/>
  <c r="J27" i="1"/>
  <c r="J31" i="1" s="1"/>
  <c r="H27" i="1"/>
  <c r="H31" i="1" s="1"/>
  <c r="C54" i="1"/>
  <c r="D54" i="1"/>
  <c r="O20" i="1"/>
  <c r="L20" i="1"/>
  <c r="N54" i="1"/>
  <c r="N62" i="1" s="1"/>
  <c r="N65" i="1" s="1"/>
  <c r="E27" i="1"/>
  <c r="E31" i="1" s="1"/>
  <c r="G27" i="1"/>
  <c r="G31" i="1" s="1"/>
  <c r="I27" i="1"/>
  <c r="I31" i="1" s="1"/>
  <c r="P62" i="1"/>
  <c r="P65" i="1" s="1"/>
  <c r="C20" i="1"/>
  <c r="C27" i="1" s="1"/>
  <c r="K26" i="1"/>
  <c r="M26" i="1"/>
  <c r="K43" i="1"/>
  <c r="L10" i="1"/>
  <c r="O10" i="1"/>
  <c r="K10" i="1"/>
  <c r="L26" i="1"/>
  <c r="O26" i="1"/>
  <c r="L43" i="1"/>
  <c r="G11" i="11" s="1"/>
  <c r="O51" i="1"/>
  <c r="O54" i="1" l="1"/>
  <c r="C24" i="11"/>
  <c r="C28" i="11" s="1"/>
  <c r="F22" i="11"/>
  <c r="F33" i="1"/>
  <c r="G22" i="11"/>
  <c r="D24" i="11"/>
  <c r="D28" i="11" s="1"/>
  <c r="H34" i="1"/>
  <c r="K54" i="1"/>
  <c r="F11" i="11"/>
  <c r="L54" i="1"/>
  <c r="J33" i="1"/>
  <c r="O27" i="1"/>
  <c r="L27" i="1"/>
  <c r="J34" i="1"/>
  <c r="H33" i="1"/>
  <c r="G34" i="1"/>
  <c r="G33" i="1"/>
  <c r="C31" i="1"/>
  <c r="M27" i="1"/>
  <c r="K27" i="1"/>
  <c r="M20" i="1"/>
  <c r="K20" i="1"/>
  <c r="I34" i="1"/>
  <c r="I33" i="1"/>
  <c r="E34" i="1"/>
  <c r="E33" i="1"/>
  <c r="O31" i="1"/>
  <c r="L31" i="1"/>
  <c r="F34" i="1"/>
  <c r="M31" i="1" l="1"/>
  <c r="K31" i="1"/>
  <c r="H34" i="6" l="1"/>
  <c r="G34" i="6"/>
  <c r="F34" i="6"/>
  <c r="E34" i="6"/>
  <c r="K33" i="6"/>
  <c r="J33" i="6"/>
  <c r="M9" i="6"/>
  <c r="K9" i="6"/>
  <c r="J9" i="6"/>
  <c r="M40" i="6"/>
  <c r="K40" i="6"/>
  <c r="J40" i="6"/>
  <c r="K34" i="6" l="1"/>
  <c r="M34" i="6"/>
  <c r="J34" i="6"/>
  <c r="C35" i="6"/>
  <c r="C55" i="1" s="1"/>
  <c r="K55" i="1" l="1"/>
  <c r="D11" i="8"/>
  <c r="D13" i="7"/>
  <c r="E8" i="5"/>
  <c r="E11" i="5" s="1"/>
  <c r="D11" i="4"/>
  <c r="D24" i="4"/>
  <c r="F18" i="4"/>
  <c r="E18" i="4"/>
  <c r="C11" i="2"/>
  <c r="L55" i="1" l="1"/>
  <c r="O55" i="1"/>
  <c r="F23" i="11"/>
  <c r="M55" i="1"/>
  <c r="D25" i="4"/>
  <c r="G7" i="8"/>
  <c r="E7" i="8"/>
  <c r="E10" i="8"/>
  <c r="G10" i="8"/>
  <c r="G23" i="11" l="1"/>
  <c r="G9" i="8"/>
  <c r="E9" i="8"/>
  <c r="D49" i="6"/>
  <c r="I45" i="6"/>
  <c r="I46" i="6" s="1"/>
  <c r="I49" i="6" s="1"/>
  <c r="J45" i="6"/>
  <c r="K45" i="6"/>
  <c r="K46" i="6" s="1"/>
  <c r="K49" i="6" s="1"/>
  <c r="M45" i="6"/>
  <c r="F24" i="4"/>
  <c r="F11" i="4"/>
  <c r="E10" i="2"/>
  <c r="C21" i="14"/>
  <c r="D29" i="14"/>
  <c r="C29" i="14"/>
  <c r="D25" i="14"/>
  <c r="C25" i="14"/>
  <c r="D21" i="14"/>
  <c r="D17" i="14"/>
  <c r="C17" i="14"/>
  <c r="D13" i="14"/>
  <c r="C13" i="14"/>
  <c r="H11" i="8"/>
  <c r="F11" i="8"/>
  <c r="C46" i="6"/>
  <c r="D11" i="12"/>
  <c r="E11" i="12"/>
  <c r="F11" i="12"/>
  <c r="G11" i="12"/>
  <c r="H11" i="12"/>
  <c r="I11" i="12"/>
  <c r="J11" i="12"/>
  <c r="K11" i="12"/>
  <c r="L11" i="12"/>
  <c r="M11" i="12"/>
  <c r="N11" i="12"/>
  <c r="C11" i="12"/>
  <c r="D9" i="12"/>
  <c r="E9" i="12"/>
  <c r="F9" i="12"/>
  <c r="G9" i="12"/>
  <c r="H9" i="12"/>
  <c r="I9" i="12"/>
  <c r="J9" i="12"/>
  <c r="K9" i="12"/>
  <c r="L9" i="12"/>
  <c r="M9" i="12"/>
  <c r="N9" i="12"/>
  <c r="C9" i="12"/>
  <c r="C11" i="8"/>
  <c r="E9" i="4"/>
  <c r="F14" i="4"/>
  <c r="F10" i="4"/>
  <c r="E10" i="4"/>
  <c r="G8" i="8"/>
  <c r="G11" i="8" s="1"/>
  <c r="E8" i="8"/>
  <c r="F11" i="2"/>
  <c r="H11" i="2"/>
  <c r="G7" i="2"/>
  <c r="G8" i="2"/>
  <c r="G9" i="2"/>
  <c r="G10" i="2"/>
  <c r="E7" i="2"/>
  <c r="E8" i="2"/>
  <c r="E9" i="2"/>
  <c r="C24" i="4"/>
  <c r="E12" i="4"/>
  <c r="E14" i="4"/>
  <c r="E19" i="4" s="1"/>
  <c r="F8" i="4"/>
  <c r="F9" i="4"/>
  <c r="F16" i="4"/>
  <c r="F21" i="4"/>
  <c r="F22" i="4" s="1"/>
  <c r="F23" i="4"/>
  <c r="F7" i="4"/>
  <c r="G6" i="2"/>
  <c r="E6" i="2"/>
  <c r="F18" i="7"/>
  <c r="H18" i="7"/>
  <c r="F19" i="7"/>
  <c r="H19" i="7"/>
  <c r="F20" i="7"/>
  <c r="H20" i="7"/>
  <c r="F21" i="7"/>
  <c r="H21" i="7"/>
  <c r="H17" i="7"/>
  <c r="F17" i="7"/>
  <c r="H9" i="7"/>
  <c r="H10" i="7"/>
  <c r="H11" i="7"/>
  <c r="H12" i="7"/>
  <c r="H7" i="7"/>
  <c r="F9" i="7"/>
  <c r="F10" i="7"/>
  <c r="F11" i="7"/>
  <c r="F12" i="7"/>
  <c r="F7" i="7"/>
  <c r="G22" i="7"/>
  <c r="E22" i="7"/>
  <c r="E13" i="7"/>
  <c r="D22" i="7"/>
  <c r="C22" i="7"/>
  <c r="C13" i="7"/>
  <c r="L46" i="6"/>
  <c r="L49" i="6" s="1"/>
  <c r="N46" i="6"/>
  <c r="N49" i="6" s="1"/>
  <c r="H46" i="6"/>
  <c r="H49" i="6" s="1"/>
  <c r="G46" i="6"/>
  <c r="G49" i="6" s="1"/>
  <c r="F46" i="6"/>
  <c r="F49" i="6" s="1"/>
  <c r="E46" i="6"/>
  <c r="E49" i="6" s="1"/>
  <c r="E8" i="4"/>
  <c r="E16" i="4"/>
  <c r="E21" i="4"/>
  <c r="E22" i="4" s="1"/>
  <c r="E23" i="4"/>
  <c r="E7" i="4"/>
  <c r="G13" i="7"/>
  <c r="C11" i="4"/>
  <c r="C25" i="4" s="1"/>
  <c r="F19" i="4" l="1"/>
  <c r="H22" i="7"/>
  <c r="C49" i="6"/>
  <c r="C56" i="1"/>
  <c r="F22" i="7"/>
  <c r="E11" i="2"/>
  <c r="E11" i="4"/>
  <c r="J46" i="6"/>
  <c r="J49" i="6" s="1"/>
  <c r="G11" i="2"/>
  <c r="H13" i="7"/>
  <c r="D30" i="14"/>
  <c r="F13" i="7"/>
  <c r="M46" i="6"/>
  <c r="M49" i="6" s="1"/>
  <c r="E24" i="4"/>
  <c r="C30" i="14"/>
  <c r="E11" i="8"/>
  <c r="F12" i="4"/>
  <c r="K56" i="1" l="1"/>
  <c r="M56" i="1"/>
  <c r="M61" i="1" s="1"/>
  <c r="M62" i="1" s="1"/>
  <c r="M65" i="1" s="1"/>
  <c r="C61" i="1"/>
  <c r="C62" i="1" s="1"/>
  <c r="C65" i="1" s="1"/>
  <c r="F25" i="4"/>
  <c r="E25" i="4"/>
  <c r="J10" i="12"/>
  <c r="H10" i="12"/>
  <c r="L10" i="12"/>
  <c r="I10" i="12"/>
  <c r="E10" i="12"/>
  <c r="F10" i="12"/>
  <c r="C10" i="12"/>
  <c r="D10" i="12"/>
  <c r="M10" i="12"/>
  <c r="K10" i="12"/>
  <c r="G10" i="12"/>
  <c r="N10" i="12"/>
  <c r="L56" i="1" l="1"/>
  <c r="O56" i="1"/>
  <c r="O61" i="1" s="1"/>
  <c r="O62" i="1" s="1"/>
  <c r="O65" i="1" s="1"/>
  <c r="D61" i="1"/>
  <c r="D62" i="1" s="1"/>
  <c r="D65" i="1" s="1"/>
  <c r="F24" i="11"/>
  <c r="F27" i="11" s="1"/>
  <c r="F28" i="11" s="1"/>
  <c r="F31" i="11" s="1"/>
  <c r="K61" i="1"/>
  <c r="K62" i="1" s="1"/>
  <c r="K65" i="1" s="1"/>
  <c r="O8" i="12"/>
  <c r="G8" i="12" s="1"/>
  <c r="G12" i="12" s="1"/>
  <c r="C33" i="1"/>
  <c r="C34" i="1"/>
  <c r="L8" i="12" l="1"/>
  <c r="L12" i="12" s="1"/>
  <c r="O12" i="12"/>
  <c r="F8" i="12"/>
  <c r="F12" i="12" s="1"/>
  <c r="I8" i="12"/>
  <c r="I12" i="12" s="1"/>
  <c r="C8" i="12"/>
  <c r="C12" i="12" s="1"/>
  <c r="G24" i="11"/>
  <c r="G27" i="11" s="1"/>
  <c r="G28" i="11" s="1"/>
  <c r="L61" i="1"/>
  <c r="L62" i="1" s="1"/>
  <c r="L65" i="1" s="1"/>
  <c r="M33" i="1"/>
  <c r="K33" i="1"/>
  <c r="D34" i="1"/>
  <c r="D33" i="1"/>
  <c r="N8" i="12"/>
  <c r="N12" i="12" s="1"/>
  <c r="D8" i="12"/>
  <c r="D12" i="12" s="1"/>
  <c r="K8" i="12"/>
  <c r="K12" i="12" s="1"/>
  <c r="K34" i="1"/>
  <c r="M34" i="1"/>
  <c r="E8" i="12"/>
  <c r="E12" i="12" s="1"/>
  <c r="H8" i="12"/>
  <c r="H12" i="12" s="1"/>
  <c r="M8" i="12"/>
  <c r="M12" i="12" s="1"/>
  <c r="J8" i="12"/>
  <c r="J12" i="12" s="1"/>
  <c r="L33" i="1" l="1"/>
  <c r="O33" i="1"/>
  <c r="O34" i="1"/>
  <c r="L34" i="1"/>
</calcChain>
</file>

<file path=xl/sharedStrings.xml><?xml version="1.0" encoding="utf-8"?>
<sst xmlns="http://schemas.openxmlformats.org/spreadsheetml/2006/main" count="698" uniqueCount="350">
  <si>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</si>
  <si>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</si>
  <si>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</si>
  <si>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</si>
  <si>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</si>
  <si>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</si>
  <si>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</si>
  <si>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</si>
  <si>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</si>
  <si>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</si>
  <si>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</si>
  <si>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</si>
  <si>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</si>
  <si>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</si>
  <si>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</si>
  <si>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</si>
  <si>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</si>
  <si>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</si>
  <si>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</si>
  <si>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</si>
  <si>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</si>
  <si>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</si>
  <si>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</si>
  <si>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</si>
  <si>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</si>
  <si>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</si>
  <si>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</si>
  <si>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</si>
  <si>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</si>
  <si>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</si>
  <si>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</si>
  <si>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</si>
  <si>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</si>
  <si>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</si>
  <si>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</si>
  <si>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</si>
  <si>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</si>
  <si>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</si>
  <si>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</si>
  <si>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</si>
  <si>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</si>
  <si>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</si>
  <si>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</si>
  <si>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</si>
  <si>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</si>
  <si>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</si>
  <si>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</si>
  <si>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</si>
  <si>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</si>
  <si>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</si>
  <si>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</si>
  <si>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</si>
  <si>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</si>
  <si>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</si>
  <si>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</si>
  <si>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</si>
  <si>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</si>
  <si>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</si>
  <si>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</si>
  <si>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</si>
  <si>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</si>
  <si>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</si>
  <si>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</si>
  <si>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</si>
  <si>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</si>
  <si>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</si>
  <si>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</si>
  <si>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</si>
  <si>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</si>
  <si>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</si>
  <si>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</si>
  <si>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</si>
  <si>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</si>
  <si>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</si>
  <si>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</si>
  <si>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adatok Ft-ban</t>
  </si>
  <si>
    <t>Településüzemeltetéshez kapcsolódó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</si>
  <si>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</si>
  <si>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</si>
  <si>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</si>
  <si>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</si>
  <si>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</si>
  <si>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</si>
  <si>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</si>
  <si>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</si>
  <si>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</si>
  <si>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</si>
  <si>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</si>
  <si>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</si>
  <si>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</si>
  <si>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</si>
  <si>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</si>
  <si>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</si>
  <si>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</si>
  <si>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</si>
  <si>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</si>
  <si>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</si>
  <si>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</si>
  <si>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</si>
  <si>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</si>
  <si>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</si>
  <si>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</si>
  <si>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</si>
  <si>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</si>
  <si>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</si>
  <si>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</si>
  <si>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</si>
  <si>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</si>
  <si>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</si>
  <si>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</si>
  <si>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</si>
  <si>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</si>
  <si>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</si>
  <si>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</si>
  <si>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</si>
  <si>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</si>
  <si>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</si>
  <si>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</si>
  <si>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</si>
  <si>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</si>
  <si>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</si>
  <si>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</si>
  <si>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</si>
  <si>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Talajterhelési díj</t>
  </si>
  <si>
    <t>Helyi önkormnyzatok általános működésének támogatása összesen</t>
  </si>
  <si>
    <t>Települési önkormányzatok köznevelési feladatainak támogatása összesen</t>
  </si>
  <si>
    <t>Szociális étkeztetés</t>
  </si>
  <si>
    <t>Költségvetési bevételek összesen</t>
  </si>
  <si>
    <t xml:space="preserve">  Ellátottak juttatásai,  társadalom-, szociálpolitikai és egyéb juttatás, támogatás</t>
  </si>
  <si>
    <t>Műk.c.tám. NONPROFIT GAZD.TÁRS.</t>
  </si>
  <si>
    <t>Műk.c.tám. EGYÉB CIVIL SZERV. (alapítvány, egyesület, helyi szervezet)</t>
  </si>
  <si>
    <t>Műk.c.tám. EGYÉB VÁLLALKOZÁSOK</t>
  </si>
  <si>
    <t>Felh.c.tám. NONPROFIT GAZD.TÁRS.</t>
  </si>
  <si>
    <t>Felh.c.tám. EGYÉB CIVIL SZERV. (alapítvány, egyesület, helyi szervezet)</t>
  </si>
  <si>
    <t>Felh.c.tám. HÁZTARTÁSOK</t>
  </si>
  <si>
    <t>Építményadó</t>
  </si>
  <si>
    <t>Telekadó</t>
  </si>
  <si>
    <t>Állandó jelleggel végzett ip.űzési adó</t>
  </si>
  <si>
    <t>Idegenfor.adó tartózkodás után</t>
  </si>
  <si>
    <t>Egyéb közhatalmi bevételek (Pótlékok, illetékek, bírságok)</t>
  </si>
  <si>
    <t>Első lakáshoz jutók tám. Önk.rend.</t>
  </si>
  <si>
    <t>Szakmai</t>
  </si>
  <si>
    <t xml:space="preserve">Intézmény üzemeltetéshez kapcsolódó </t>
  </si>
  <si>
    <t>védőnő 1</t>
  </si>
  <si>
    <t>jegyző 1</t>
  </si>
  <si>
    <t>aljegyző 1</t>
  </si>
  <si>
    <t>int.vez. 1</t>
  </si>
  <si>
    <t>int.vez.h. 1</t>
  </si>
  <si>
    <t xml:space="preserve">Előző évi működési célú előirányzat-maradvány, pénzmaradvány  összesen 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</si>
  <si>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</si>
  <si>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</si>
  <si>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</si>
  <si>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</si>
  <si>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</si>
  <si>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>méltányossági alapon, valamint az állandó lakosok 25 nm kedvezménye</t>
  </si>
  <si>
    <t xml:space="preserve">méltányossági alapon </t>
  </si>
  <si>
    <t>adóelőleg csökkentés méltányossági alapon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</si>
  <si>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</si>
  <si>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</si>
  <si>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</si>
  <si>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</si>
  <si>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</si>
  <si>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</si>
  <si>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</si>
  <si>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</si>
  <si>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</si>
  <si>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</si>
  <si>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</si>
  <si>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</si>
  <si>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</si>
  <si>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</si>
  <si>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</si>
  <si>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</si>
  <si>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</si>
  <si>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</si>
  <si>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</si>
  <si>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 xml:space="preserve">   támogatásértékű felhalmozási kiadások államháztartáson belülre</t>
  </si>
  <si>
    <t>ÁFA</t>
  </si>
  <si>
    <t xml:space="preserve">M </t>
  </si>
  <si>
    <t>könyvtáros 1</t>
  </si>
  <si>
    <t>adóellenőr 0,5 (2 fő 6 órás 3,5 hóra)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</si>
  <si>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</si>
  <si>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</si>
  <si>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</si>
  <si>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</si>
  <si>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</si>
  <si>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</si>
  <si>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Polgármesteri illetmény támogatása</t>
  </si>
  <si>
    <t>Bölcsődei üzemeltetési támogatás</t>
  </si>
  <si>
    <t>Felh.c.tám. EGYÉB VÁLLALKOZÁSOK</t>
  </si>
  <si>
    <t>rendezvényszervező 1</t>
  </si>
  <si>
    <t>közterület felügyelő 1</t>
  </si>
  <si>
    <t>polgármester 1 tisztségviselő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</si>
  <si>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</si>
  <si>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</si>
  <si>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</si>
  <si>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</si>
  <si>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</si>
  <si>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</si>
  <si>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</si>
  <si>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</si>
  <si>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</si>
  <si>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</si>
  <si>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</si>
  <si>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</si>
  <si>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</si>
  <si>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</si>
  <si>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</si>
  <si>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</si>
  <si>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</si>
  <si>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</si>
  <si>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</si>
  <si>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</si>
  <si>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</si>
  <si>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 xml:space="preserve">   támogatásértékű működési kiadások államáztartáson belülre</t>
  </si>
  <si>
    <t xml:space="preserve">  A helyi önk. Előző évi elsz. Származó kiadások</t>
  </si>
  <si>
    <t xml:space="preserve">   egyéb elvonások befizetések</t>
  </si>
  <si>
    <t>Temüsz előirányzatai</t>
  </si>
  <si>
    <t>Temüsz módosított előirányzatai</t>
  </si>
  <si>
    <t>Egyéb műk.c. támogatás (Pályázat, Rendszeres gyv.kedv.)</t>
  </si>
  <si>
    <t xml:space="preserve">B16. Támogatásértékű működési bevételek </t>
  </si>
  <si>
    <t xml:space="preserve">B21. B25. Támogatásértékű felhalmozási bevételek </t>
  </si>
  <si>
    <t>"</t>
  </si>
  <si>
    <t>Egyéb műk.c. támogatás (Elkülnített Állami Pénzalapoktól (Bethlen Gábor Alap, Közfoglalkoztatás, Nemzeti kulturális alap)</t>
  </si>
  <si>
    <t>K5022. egyéb elvonások befizetések</t>
  </si>
  <si>
    <t>dajka 3</t>
  </si>
  <si>
    <t>kisgy.nevelő 2</t>
  </si>
  <si>
    <t>Strand gondnok,1</t>
  </si>
  <si>
    <t>dajka/takarító (bölcsőde) 0,75</t>
  </si>
  <si>
    <t>szakács szoc.étk., külsősök 1</t>
  </si>
  <si>
    <t>szakács bölcsőde 1</t>
  </si>
  <si>
    <t>szakács óvoda 1</t>
  </si>
  <si>
    <t>anyakönyvvez., szoc. üi. 1</t>
  </si>
  <si>
    <t>temüsz fizikai 9</t>
  </si>
  <si>
    <t>konyhai kisegítő óvoda 1</t>
  </si>
  <si>
    <t>élelmezésvezető 1</t>
  </si>
  <si>
    <t>K5. Egyéb működési célú kiadások</t>
  </si>
  <si>
    <t>K915.  irányító szerv alá tartozó költségvetési szervnek folyósított működési támogatás</t>
  </si>
  <si>
    <t>B812. Forgatási célú értékpapírok</t>
  </si>
  <si>
    <t>Forgatási célú értékpapírok</t>
  </si>
  <si>
    <t>Bölcsődei dajkák bértámogatása</t>
  </si>
  <si>
    <t>A települési önkormányzatok gyermekétkeztetési feladatainak támogatása</t>
  </si>
  <si>
    <t>TOP-1.2.1-16-VE1-2021-00031  Vízen, földön és két keréken - „Zöld tengely” turisztikai fejlesztés Alsóörsön</t>
  </si>
  <si>
    <t>Buszmegálló</t>
  </si>
  <si>
    <t>Laptop</t>
  </si>
  <si>
    <t>Műk.c.tám. EGYHÁZAKNAK</t>
  </si>
  <si>
    <t>Felh.c.tám. EGYHÁZAKNAK</t>
  </si>
  <si>
    <t>ügyintéző 1</t>
  </si>
  <si>
    <t>ped.assz. 2</t>
  </si>
  <si>
    <t>ÖNKORMÁNYZAT és INTÉZMÉNYEK ÖSSZESEN</t>
  </si>
  <si>
    <t>MÉRLEG 2023</t>
  </si>
  <si>
    <t>HELYI ADÓ BEVÉTELEK 2023</t>
  </si>
  <si>
    <t>KÖLTSÉGVETÉS 2023</t>
  </si>
  <si>
    <t>TÁMOGATÁSÉRTÉKŰ BEVÉTELEK államháztartáson belülről 2023</t>
  </si>
  <si>
    <t>Egyéb műk.c. támogatás (TB alapoktól és kezelőitől védőnő támogatás 9.600.000)</t>
  </si>
  <si>
    <t>Egyéb műk.c. támogatás Társulástól (KBTÖT munkaszervezeti feladatok ellátására)</t>
  </si>
  <si>
    <t>KÖZPONTI KÖLTSÉGVETÉSBŐL SZÁRMAZÓ TÁMOGATÁSOK 2023</t>
  </si>
  <si>
    <t>Önkormányzati hivatal működésének támogatása (8,2 fő, 5 537 000 Ft/fő)</t>
  </si>
  <si>
    <t>Közvilágítás kiegészítő támogatása</t>
  </si>
  <si>
    <t>Települési önkormányzatok  szociális és gyermekjóléti feladatainak egyéb támogatása</t>
  </si>
  <si>
    <t>Felsőfokú végzettségű kisgyermeknevelők bértámogatása</t>
  </si>
  <si>
    <t>Intézményi gyermekétkeztetés bértámogatása</t>
  </si>
  <si>
    <t>Intézményi gyermekétkezttés üzemeltetési támogatása</t>
  </si>
  <si>
    <t>Európai Uniós Projektek 2023</t>
  </si>
  <si>
    <t>TOP PLUSZ 2.1.1-2021-VE1-2022-00030 Endrődi Sándor Református Általános Iskola energetikai korszerűsítése</t>
  </si>
  <si>
    <t>TOP-3.1.1-16-VE1-2017-00020 Kerékpárút építése Alsóörs és Felsőörs községek területén, Alsóörs-Felsőörs konzorciumban történő megvalósítás</t>
  </si>
  <si>
    <t>Megvalósítás 2018-2022, Projekt elszámolás 2023-ban lezárul</t>
  </si>
  <si>
    <t>Megvalósítás 2022-2023, Projekt elszámolás 2023-ban lezárul</t>
  </si>
  <si>
    <t>BERUHÁZÁS-FELÚJÍTÁS 2023</t>
  </si>
  <si>
    <t>TOP Turisztika Zöld tengely</t>
  </si>
  <si>
    <t>TOP Plusz Energetika</t>
  </si>
  <si>
    <t>Közvilágítás LED 2.részlet</t>
  </si>
  <si>
    <t>LED közbeszerzés</t>
  </si>
  <si>
    <t>Sportöltöző felújitás</t>
  </si>
  <si>
    <t>Temető lépcső támfal</t>
  </si>
  <si>
    <t>HÉSZ</t>
  </si>
  <si>
    <t>Diófa utca kinyitása</t>
  </si>
  <si>
    <t>2195 hrsz út kialakítás</t>
  </si>
  <si>
    <t>Telekvásárlás</t>
  </si>
  <si>
    <t>Seprőgép szegélykorong</t>
  </si>
  <si>
    <t>Kemping számítógép, péntárgép beszerzés</t>
  </si>
  <si>
    <t>Játszóház bölcsőde udvarra</t>
  </si>
  <si>
    <t>Láncos egyensúlyozó udvarra</t>
  </si>
  <si>
    <t>ÁTADOTT PÉNZESZKÖZÖK ÁLLAMHÁZTARTÁSON KÍVÜLRE 2023</t>
  </si>
  <si>
    <t>Műk.c.tám. EGYHÁZAKNAK (Iskola támogatás)</t>
  </si>
  <si>
    <t>TELEPÜLÉSI TÁMOGATÁSOK 2023</t>
  </si>
  <si>
    <t>LÉTSZÁM 2023</t>
  </si>
  <si>
    <t>pénzügyi üi. 5</t>
  </si>
  <si>
    <t>adóügyi üi. 3</t>
  </si>
  <si>
    <t>informatikus 0,75</t>
  </si>
  <si>
    <t>műszaki üi. 1</t>
  </si>
  <si>
    <t>Kemping gondnok 1</t>
  </si>
  <si>
    <t>Szálláshely gondnok 1</t>
  </si>
  <si>
    <t>Strand-Kemping idénylétszám 6+3=9</t>
  </si>
  <si>
    <t>1 óvónő int.vez, 1 óvónő int.vez.hely., 4 óvónő</t>
  </si>
  <si>
    <t>KÖZVETETT TÁMOGATÁSOK 2023</t>
  </si>
  <si>
    <t>ELŐIRÁNYZAT FELHASZNÁLÁSI TERV 2023</t>
  </si>
  <si>
    <t xml:space="preserve"> 1. melléklet a 4/2023. (II. 17. ) Önkormányzati rendelethez</t>
  </si>
  <si>
    <t>11. melléklet  a 4 /2023. (II. 17. ) Önkormányzati rendelethez</t>
  </si>
  <si>
    <t>2. melléklet a 4/2023. (II. 17. ) Önkormányzati rendelethez</t>
  </si>
  <si>
    <t>3. melléklet a 4/2023. (II. 17. ) Önkormányzati rendelethez</t>
  </si>
  <si>
    <t>4. melléklet a  4/2023. (II. 17. ) Önkormányzati rendelethez</t>
  </si>
  <si>
    <t>5. melléklet a 4 /2023. (II. 17. ) Önkormányzati rendelethez</t>
  </si>
  <si>
    <t>6. melléklet a  4/2023. (II. 17. ) Önkormányzati rendelethez</t>
  </si>
  <si>
    <t>7. melléklet a 4/2023. (II. 17. ) Önkormányzati rendelethez</t>
  </si>
  <si>
    <t>8. melléklet a 4 /2023. (II. 17. ) Önkormányzati rendelethez</t>
  </si>
  <si>
    <t>9. melléklet a  4/2023. (II. 17. ) Önkormányzati rendelethez</t>
  </si>
  <si>
    <t>10. melléklet a 4/2023. (II. 17. ) Önkormányzati rendelethez</t>
  </si>
  <si>
    <t>12. melléklet a  4 /2023. (II. 17. ) Önkormányzati rendelethez</t>
  </si>
  <si>
    <t>K914. Államháztartáson belüli megelőlegezések</t>
  </si>
  <si>
    <t>K912. Forgatási célú értékpapírok vásárása</t>
  </si>
  <si>
    <t>Forgatási célú értékpapírok vásárása</t>
  </si>
  <si>
    <t>Államháztartáson belüli megelőlegezések</t>
  </si>
  <si>
    <t>B341 Építményadó</t>
  </si>
  <si>
    <t>B344 Telekadó</t>
  </si>
  <si>
    <t>B351 Állandó jelleggel végzett ip.űzési adó</t>
  </si>
  <si>
    <t>B355 Idegenfor.adó tartózkodás után</t>
  </si>
  <si>
    <t>B36 Egyéb közhatalmi bevételek (Pótlékok, illetékek, bírságok, Talajterhelési díj)</t>
  </si>
  <si>
    <t>Egyéb műk.c. támogatás Önk-tól (Balatonalmádi Szoc. Központ előző évi tám. Elszámolása)</t>
  </si>
  <si>
    <t>Falugondnoki szolgálat támogatása (2023. évben 2 hónap)</t>
  </si>
  <si>
    <t xml:space="preserve">Lakossági víz- és csatorna támogatása </t>
  </si>
  <si>
    <t>Szociális tüzifa támogatás</t>
  </si>
  <si>
    <t>2022. évi iparűzési adókedvezménnyel kapcsolatos önkormányzati támogatás</t>
  </si>
  <si>
    <t>Előző évi beszámoló elszámolása</t>
  </si>
  <si>
    <t>Bérintézkedések támogatása</t>
  </si>
  <si>
    <t>Egyéb műk.c. támogatás Önk-tól, Önk-i ktgv.szervtől (Lovas Közs. Önk. Tám., Óvoda: 1.200.000 Ft, Védőnő: 800.000 Ft, Közös Hivatal tám: 11.650.000Ft, Felsőörs kerékpárút önerőhöz tám. 4.276.199 Ft, Minősített közművelődési intézmény cím 500.000 Ft)</t>
  </si>
  <si>
    <t>B21 Felh.célú önkormányzati támogatás (Vis Maior)</t>
  </si>
  <si>
    <t>B25 Felh.célú egyéb támogatás (Kerékpárút támogatás)</t>
  </si>
  <si>
    <t>B25 Felh.célú egyéb támogatás (Elektromos jármű beszerzése támogatás)</t>
  </si>
  <si>
    <t>B25 Felh.célú egyéb támogatás (TOP Turisztika plusz támogatás)</t>
  </si>
  <si>
    <t>B25 Felh.célú egyéb támogatás (TOP Turisztika plusz támogatás visszafizetés)</t>
  </si>
  <si>
    <t>Merse park - May J. u. játszóterek Leader pályázat</t>
  </si>
  <si>
    <t>Elektromos jármű BFT pályázat</t>
  </si>
  <si>
    <t>Klíma Sportöltözó</t>
  </si>
  <si>
    <t>Vis Maior Fő u. útbeszakadás</t>
  </si>
  <si>
    <t>Vis Maior 17.hrsz. (támogatói döntés folyamatban)</t>
  </si>
  <si>
    <t>Online pénztárgép Strand</t>
  </si>
  <si>
    <t>Felszíni szivattyú Strand</t>
  </si>
  <si>
    <t>Mobilház Kemping</t>
  </si>
  <si>
    <t>2 db számítógép (óvoda iroda, élelmezésvezető)</t>
  </si>
  <si>
    <t>DIOO konzol óvodai fejlesztéshez</t>
  </si>
  <si>
    <t>Ételfőző üst (konyha)</t>
  </si>
  <si>
    <t xml:space="preserve">Műk.c.tám. HÁZTARTÁSOK </t>
  </si>
  <si>
    <t>védőnő 0,5</t>
  </si>
  <si>
    <t>tanyagondnok (2-hó) 0,16</t>
  </si>
  <si>
    <t>igazgatási üi. 0,75</t>
  </si>
  <si>
    <t>műszaki üi. 0,5</t>
  </si>
  <si>
    <t>Eredeti előirányzat</t>
  </si>
  <si>
    <t>Módosított előirányzat</t>
  </si>
  <si>
    <t>A fenti előirányzatokból 2023 költségvetési év azon fejlesztési céljai, amelyek megvalósításához a Stabilitási tv. 3. § (1) bekezdése szerinti adósságot keletkeztető ügylet megkötése válik vagy válhat szükségessé (forrás feltüntetése ezer 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</si>
</sst>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0__"/>
    <numFmt numFmtId="166" formatCode="_-* #,##0\ _F_t_-;\-* #,##0\ _F_t_-;_-* &quot;-&quot;??\ _F_t_-;_-@_-"/>
    <numFmt numFmtId="167" formatCode="_-* #,##0\ _F_t_-;\-* #,##0\ _F_t_-;_-* \-??\ _F_t_-;_-@_-"/>
  </numFmts>
  <fonts count="46" x14ac:knownFonts="1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  <font>
      <b/>
      <sz val="2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4">
    <xf numFmtId="0" fontId="0" fillId="0" borderId="0" xfId="0"/>
    <xf numFmtId="0" fontId="2" fillId="0" borderId="0" xfId="0" applyFont="1"/>
    <xf numFmtId="165" fontId="3" fillId="0" borderId="0" xfId="4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5" fontId="10" fillId="0" borderId="1" xfId="4" applyNumberFormat="1" applyFont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5" fontId="11" fillId="0" borderId="1" xfId="4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1" fillId="7" borderId="1" xfId="1" applyNumberFormat="1" applyFont="1" applyFill="1" applyBorder="1" applyAlignment="1">
      <alignment horizontal="center" vertical="center" wrapText="1"/>
    </xf>
    <xf numFmtId="166" fontId="9" fillId="7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166" fontId="9" fillId="8" borderId="1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 wrapText="1"/>
    </xf>
    <xf numFmtId="166" fontId="9" fillId="9" borderId="1" xfId="1" applyNumberFormat="1" applyFont="1" applyFill="1" applyBorder="1" applyAlignment="1">
      <alignment horizontal="center" vertical="center"/>
    </xf>
    <xf numFmtId="166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left" vertical="center" wrapText="1"/>
    </xf>
    <xf numFmtId="3" fontId="19" fillId="0" borderId="1" xfId="4" applyNumberFormat="1" applyFont="1" applyBorder="1" applyAlignment="1">
      <alignment horizontal="right" vertical="center" wrapText="1"/>
    </xf>
    <xf numFmtId="165" fontId="20" fillId="0" borderId="1" xfId="4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3" fillId="0" borderId="1" xfId="4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 wrapText="1"/>
    </xf>
    <xf numFmtId="165" fontId="3" fillId="0" borderId="0" xfId="4" applyNumberFormat="1" applyFont="1" applyAlignment="1">
      <alignment horizontal="left" vertical="center"/>
    </xf>
    <xf numFmtId="3" fontId="21" fillId="0" borderId="1" xfId="4" applyNumberFormat="1" applyFont="1" applyBorder="1" applyAlignment="1">
      <alignment horizontal="right" vertical="center" wrapText="1"/>
    </xf>
    <xf numFmtId="165" fontId="21" fillId="0" borderId="0" xfId="4" applyNumberFormat="1" applyFont="1" applyAlignment="1">
      <alignment horizontal="left" vertical="center" wrapText="1"/>
    </xf>
    <xf numFmtId="165" fontId="22" fillId="0" borderId="0" xfId="4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5" fontId="23" fillId="0" borderId="0" xfId="4" applyNumberFormat="1" applyFont="1" applyAlignment="1">
      <alignment horizontal="left" vertical="center" wrapText="1"/>
    </xf>
    <xf numFmtId="3" fontId="13" fillId="0" borderId="0" xfId="0" applyNumberFormat="1" applyFont="1"/>
    <xf numFmtId="0" fontId="2" fillId="0" borderId="2" xfId="0" applyFont="1" applyBorder="1" applyAlignment="1" applyProtection="1">
      <alignment wrapText="1"/>
      <protection locked="0"/>
    </xf>
    <xf numFmtId="166" fontId="2" fillId="0" borderId="0" xfId="1" applyNumberFormat="1" applyFont="1"/>
    <xf numFmtId="166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Alignment="1">
      <alignment horizontal="right" vertical="center" wrapText="1"/>
    </xf>
    <xf numFmtId="166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6" fontId="2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6" fontId="28" fillId="0" borderId="1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horizontal="right" vertical="center"/>
    </xf>
    <xf numFmtId="165" fontId="21" fillId="0" borderId="0" xfId="4" applyNumberFormat="1" applyFont="1" applyAlignment="1">
      <alignment vertical="center" wrapText="1"/>
    </xf>
    <xf numFmtId="165" fontId="20" fillId="0" borderId="0" xfId="4" applyNumberFormat="1" applyFont="1" applyAlignment="1">
      <alignment horizontal="left" vertical="center" wrapText="1"/>
    </xf>
    <xf numFmtId="0" fontId="22" fillId="0" borderId="0" xfId="3" applyFont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Border="1" applyAlignment="1">
      <alignment wrapText="1"/>
    </xf>
    <xf numFmtId="2" fontId="32" fillId="0" borderId="1" xfId="4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2" fontId="32" fillId="0" borderId="0" xfId="4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right" vertical="center" wrapText="1"/>
    </xf>
    <xf numFmtId="3" fontId="8" fillId="0" borderId="7" xfId="0" applyNumberFormat="1" applyFont="1" applyBorder="1" applyAlignment="1">
      <alignment horizontal="center" vertical="center"/>
    </xf>
    <xf numFmtId="0" fontId="35" fillId="0" borderId="8" xfId="0" applyFont="1" applyBorder="1"/>
    <xf numFmtId="3" fontId="35" fillId="0" borderId="9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8" fillId="0" borderId="6" xfId="0" applyFont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Border="1" applyAlignment="1">
      <alignment wrapText="1"/>
    </xf>
    <xf numFmtId="0" fontId="27" fillId="0" borderId="0" xfId="0" applyFont="1"/>
    <xf numFmtId="0" fontId="6" fillId="0" borderId="0" xfId="2" applyAlignment="1" applyProtection="1"/>
    <xf numFmtId="166" fontId="2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8" fillId="0" borderId="0" xfId="1" applyNumberFormat="1" applyFont="1" applyAlignment="1">
      <alignment horizontal="right" vertical="center"/>
    </xf>
    <xf numFmtId="166" fontId="17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166" fontId="8" fillId="0" borderId="1" xfId="1" applyNumberFormat="1" applyFont="1" applyBorder="1" applyAlignment="1">
      <alignment horizontal="right" vertical="center"/>
    </xf>
    <xf numFmtId="166" fontId="9" fillId="0" borderId="1" xfId="1" applyNumberFormat="1" applyFont="1" applyBorder="1" applyAlignment="1">
      <alignment horizontal="justify" vertical="center" wrapText="1"/>
    </xf>
    <xf numFmtId="166" fontId="10" fillId="0" borderId="1" xfId="1" applyNumberFormat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justify" vertical="center" wrapText="1"/>
    </xf>
    <xf numFmtId="166" fontId="8" fillId="4" borderId="1" xfId="1" applyNumberFormat="1" applyFont="1" applyFill="1" applyBorder="1" applyAlignment="1">
      <alignment horizontal="right" vertical="center"/>
    </xf>
    <xf numFmtId="166" fontId="8" fillId="0" borderId="1" xfId="1" applyNumberFormat="1" applyFont="1" applyBorder="1" applyAlignment="1">
      <alignment horizontal="justify" vertical="center" wrapText="1"/>
    </xf>
    <xf numFmtId="166" fontId="9" fillId="0" borderId="1" xfId="1" applyNumberFormat="1" applyFont="1" applyFill="1" applyBorder="1" applyAlignment="1">
      <alignment horizontal="justify" vertical="center" wrapText="1"/>
    </xf>
    <xf numFmtId="166" fontId="17" fillId="2" borderId="1" xfId="1" applyNumberFormat="1" applyFont="1" applyFill="1" applyBorder="1" applyAlignment="1">
      <alignment vertical="center" wrapText="1"/>
    </xf>
    <xf numFmtId="166" fontId="17" fillId="2" borderId="1" xfId="1" applyNumberFormat="1" applyFont="1" applyFill="1" applyBorder="1" applyAlignment="1">
      <alignment horizontal="justify" vertical="center" wrapText="1"/>
    </xf>
    <xf numFmtId="166" fontId="8" fillId="0" borderId="1" xfId="1" applyNumberFormat="1" applyFont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17" fillId="5" borderId="1" xfId="1" applyNumberFormat="1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horizontal="left" vertical="center" wrapText="1"/>
    </xf>
    <xf numFmtId="166" fontId="17" fillId="6" borderId="1" xfId="1" applyNumberFormat="1" applyFont="1" applyFill="1" applyBorder="1" applyAlignment="1">
      <alignment vertical="center" wrapText="1"/>
    </xf>
    <xf numFmtId="166" fontId="37" fillId="6" borderId="1" xfId="1" applyNumberFormat="1" applyFont="1" applyFill="1" applyBorder="1" applyAlignment="1">
      <alignment horizontal="left" vertical="center" wrapText="1"/>
    </xf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6" fontId="29" fillId="0" borderId="1" xfId="1" applyNumberFormat="1" applyFont="1" applyBorder="1" applyAlignment="1">
      <alignment vertical="center" shrinkToFit="1"/>
    </xf>
    <xf numFmtId="166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6" fontId="7" fillId="0" borderId="1" xfId="1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2" fillId="0" borderId="2" xfId="0" applyFont="1" applyBorder="1"/>
    <xf numFmtId="167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6" fontId="28" fillId="0" borderId="1" xfId="1" applyNumberFormat="1" applyFont="1" applyBorder="1" applyAlignment="1">
      <alignment vertical="center" wrapText="1"/>
    </xf>
    <xf numFmtId="166" fontId="13" fillId="0" borderId="1" xfId="1" applyNumberFormat="1" applyFont="1" applyBorder="1" applyAlignment="1">
      <alignment vertical="center"/>
    </xf>
    <xf numFmtId="166" fontId="25" fillId="0" borderId="12" xfId="1" applyNumberFormat="1" applyFont="1" applyFill="1" applyBorder="1" applyAlignment="1">
      <alignment horizontal="center" vertical="center"/>
    </xf>
    <xf numFmtId="166" fontId="18" fillId="0" borderId="1" xfId="1" applyNumberFormat="1" applyFont="1" applyBorder="1" applyAlignment="1">
      <alignment horizontal="right" vertical="center"/>
    </xf>
    <xf numFmtId="167" fontId="43" fillId="0" borderId="16" xfId="1" applyNumberFormat="1" applyFont="1" applyFill="1" applyBorder="1" applyAlignment="1" applyProtection="1"/>
    <xf numFmtId="0" fontId="42" fillId="9" borderId="0" xfId="0" applyFont="1" applyFill="1" applyAlignment="1">
      <alignment wrapText="1"/>
    </xf>
    <xf numFmtId="167" fontId="43" fillId="9" borderId="1" xfId="1" applyNumberFormat="1" applyFont="1" applyFill="1" applyBorder="1" applyAlignment="1" applyProtection="1"/>
    <xf numFmtId="166" fontId="13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6" fontId="15" fillId="0" borderId="0" xfId="1" applyNumberFormat="1" applyFont="1" applyAlignment="1">
      <alignment vertical="center"/>
    </xf>
    <xf numFmtId="0" fontId="15" fillId="0" borderId="0" xfId="0" applyFont="1"/>
    <xf numFmtId="166" fontId="2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0" fontId="45" fillId="0" borderId="0" xfId="0" applyFont="1"/>
    <xf numFmtId="166" fontId="45" fillId="0" borderId="0" xfId="1" applyNumberFormat="1" applyFont="1" applyAlignment="1">
      <alignment horizontal="center" vertical="center"/>
    </xf>
    <xf numFmtId="0" fontId="45" fillId="0" borderId="0" xfId="0" applyFont="1" applyAlignment="1">
      <alignment wrapText="1"/>
    </xf>
    <xf numFmtId="166" fontId="9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wrapText="1"/>
    </xf>
    <xf numFmtId="166" fontId="37" fillId="6" borderId="0" xfId="1" applyNumberFormat="1" applyFont="1" applyFill="1" applyBorder="1" applyAlignment="1">
      <alignment horizontal="left" vertical="center" wrapText="1"/>
    </xf>
    <xf numFmtId="166" fontId="8" fillId="0" borderId="0" xfId="1" applyNumberFormat="1" applyFont="1" applyBorder="1" applyAlignment="1">
      <alignment horizontal="right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167" fontId="43" fillId="0" borderId="0" xfId="1" applyNumberFormat="1" applyFont="1" applyFill="1" applyBorder="1" applyAlignment="1" applyProtection="1"/>
    <xf numFmtId="0" fontId="42" fillId="0" borderId="17" xfId="0" applyFont="1" applyBorder="1"/>
    <xf numFmtId="167" fontId="43" fillId="0" borderId="1" xfId="1" applyNumberFormat="1" applyFont="1" applyFill="1" applyBorder="1" applyAlignment="1" applyProtection="1"/>
    <xf numFmtId="0" fontId="42" fillId="0" borderId="1" xfId="0" applyFont="1" applyBorder="1" applyAlignment="1">
      <alignment wrapText="1"/>
    </xf>
    <xf numFmtId="167" fontId="43" fillId="0" borderId="18" xfId="1" applyNumberFormat="1" applyFont="1" applyFill="1" applyBorder="1" applyAlignment="1" applyProtection="1"/>
    <xf numFmtId="166" fontId="28" fillId="0" borderId="7" xfId="1" applyNumberFormat="1" applyFont="1" applyBorder="1" applyAlignment="1">
      <alignment horizontal="right" vertical="center"/>
    </xf>
    <xf numFmtId="166" fontId="28" fillId="0" borderId="12" xfId="1" applyNumberFormat="1" applyFont="1" applyBorder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_70ûrlap" xfId="3" xr:uid="{00000000-0005-0000-0000-000003000000}"/>
    <cellStyle name="Normál_97ûrlap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nzugy\Documents\K&#246;lts&#233;gvet&#233;s%20&#233;s%20EI.m&#243;d.%202020\K&#246;lts&#233;gvet&#233;si%20rendelet%201.sz.%20m&#243;d.%202020\...%202021.(II.15.)%20rendelet-%202020.%20&#233;vi%20k&#246;lts&#233;gvet&#233;si%20rendelet%20m&#243;dos&#237;t&#225;sa%20mell&#233;kle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 ktgvetési mérleg"/>
      <sheetName val="1 bevétel-kiadás"/>
      <sheetName val="2 helyi adó bev."/>
      <sheetName val="3 tám.ért. bev."/>
      <sheetName val="4 ktgvetési tám. bev."/>
      <sheetName val="5 EU-s pr. bev-kiad."/>
      <sheetName val="6 Ber-Felúj. kiad."/>
      <sheetName val="7 átadott pénzeszk."/>
      <sheetName val="8 ellátotak jutt."/>
      <sheetName val="9 létszám"/>
      <sheetName val="10 közvetett tám-ok kiad."/>
      <sheetName val="12 EI felh.terv"/>
      <sheetName val="Munka1"/>
    </sheetNames>
    <sheetDataSet>
      <sheetData sheetId="0"/>
      <sheetData sheetId="1">
        <row r="12">
          <cell r="K12">
            <v>0</v>
          </cell>
        </row>
        <row r="14">
          <cell r="D1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view="pageBreakPreview" topLeftCell="A14" zoomScale="75" zoomScaleSheetLayoutView="75" workbookViewId="0">
      <selection activeCell="B31" sqref="B31"/>
    </sheetView>
  </sheetViews>
  <sheetFormatPr defaultColWidth="9.140625" defaultRowHeight="14.25" x14ac:dyDescent="0.2"/>
  <cols>
    <col min="1" max="1" width="9.140625" style="120" customWidth="1"/>
    <col min="2" max="2" width="48" style="120" customWidth="1"/>
    <col min="3" max="3" width="21.42578125" style="122" customWidth="1"/>
    <col min="4" max="4" width="21.7109375" style="122" customWidth="1"/>
    <col min="5" max="5" width="49.5703125" style="120" customWidth="1"/>
    <col min="6" max="6" width="20.140625" style="122" customWidth="1"/>
    <col min="7" max="7" width="20.85546875" style="122" customWidth="1"/>
    <col min="8" max="8" width="20.7109375" style="120" customWidth="1"/>
    <col min="9" max="9" width="18" style="120" customWidth="1"/>
    <col min="10" max="16384" width="9.140625" style="120"/>
  </cols>
  <sheetData>
    <row r="1" spans="1:7" ht="14.25" customHeight="1" x14ac:dyDescent="0.2">
      <c r="B1" s="197"/>
      <c r="C1" s="197"/>
      <c r="D1" s="197"/>
      <c r="E1" s="197"/>
      <c r="F1" s="197"/>
      <c r="G1" s="197"/>
    </row>
    <row r="2" spans="1:7" ht="14.25" customHeight="1" x14ac:dyDescent="0.2">
      <c r="B2" s="171"/>
      <c r="C2" s="171"/>
      <c r="D2" s="171"/>
      <c r="E2" s="197" t="s">
        <v>298</v>
      </c>
      <c r="F2" s="197"/>
      <c r="G2" s="197"/>
    </row>
    <row r="3" spans="1:7" ht="23.25" customHeight="1" x14ac:dyDescent="0.2">
      <c r="B3" s="178"/>
      <c r="C3" s="171"/>
      <c r="D3" s="171"/>
      <c r="E3" s="177"/>
      <c r="F3" s="177"/>
      <c r="G3" s="177"/>
    </row>
    <row r="4" spans="1:7" ht="27.75" x14ac:dyDescent="0.2">
      <c r="B4" s="180" t="s">
        <v>250</v>
      </c>
      <c r="D4" s="175"/>
      <c r="E4" s="121"/>
    </row>
    <row r="5" spans="1:7" ht="20.25" x14ac:dyDescent="0.2">
      <c r="B5" s="175" t="s">
        <v>249</v>
      </c>
      <c r="F5" s="122" t="s">
        <v>75</v>
      </c>
    </row>
    <row r="6" spans="1:7" ht="60.2" customHeight="1" x14ac:dyDescent="0.2">
      <c r="B6" s="123" t="s">
        <v>0</v>
      </c>
      <c r="C6" s="124" t="s">
        <v>97</v>
      </c>
      <c r="D6" s="124" t="s">
        <v>98</v>
      </c>
      <c r="E6" s="124" t="s">
        <v>0</v>
      </c>
      <c r="F6" s="124" t="s">
        <v>97</v>
      </c>
      <c r="G6" s="124" t="s">
        <v>98</v>
      </c>
    </row>
    <row r="7" spans="1:7" x14ac:dyDescent="0.2">
      <c r="B7" s="123" t="s">
        <v>5</v>
      </c>
      <c r="C7" s="124" t="s">
        <v>6</v>
      </c>
      <c r="D7" s="124" t="s">
        <v>7</v>
      </c>
      <c r="E7" s="123" t="s">
        <v>99</v>
      </c>
      <c r="F7" s="124" t="s">
        <v>9</v>
      </c>
      <c r="G7" s="124" t="s">
        <v>10</v>
      </c>
    </row>
    <row r="8" spans="1:7" ht="107.25" customHeight="1" x14ac:dyDescent="0.2">
      <c r="A8" s="120">
        <v>1</v>
      </c>
      <c r="B8" s="125" t="s">
        <v>174</v>
      </c>
      <c r="C8" s="126">
        <f>'1 bevétel-kiadás'!K9</f>
        <v>370487418</v>
      </c>
      <c r="D8" s="126">
        <f>'1 bevétel-kiadás'!L9</f>
        <v>473081609</v>
      </c>
      <c r="E8" s="127" t="s">
        <v>39</v>
      </c>
      <c r="F8" s="126">
        <f>'1 bevétel-kiadás'!K40</f>
        <v>406434950</v>
      </c>
      <c r="G8" s="126">
        <f>'1 bevétel-kiadás'!L40</f>
        <v>403891071</v>
      </c>
    </row>
    <row r="9" spans="1:7" ht="45" x14ac:dyDescent="0.2">
      <c r="A9" s="120">
        <v>2</v>
      </c>
      <c r="B9" s="125" t="s">
        <v>175</v>
      </c>
      <c r="C9" s="126">
        <f>C10+C11+C12+C13</f>
        <v>282000000</v>
      </c>
      <c r="D9" s="126">
        <f>D10+D11+D12+D13</f>
        <v>374993631</v>
      </c>
      <c r="E9" s="127" t="s">
        <v>40</v>
      </c>
      <c r="F9" s="126">
        <f>'1 bevétel-kiadás'!K41</f>
        <v>55941056</v>
      </c>
      <c r="G9" s="126">
        <f>'1 bevétel-kiadás'!L41</f>
        <v>51160783</v>
      </c>
    </row>
    <row r="10" spans="1:7" ht="15" x14ac:dyDescent="0.2">
      <c r="A10" s="120">
        <v>3</v>
      </c>
      <c r="B10" s="128" t="s">
        <v>18</v>
      </c>
      <c r="C10" s="126">
        <f>'1 bevétel-kiadás'!C11</f>
        <v>279000000</v>
      </c>
      <c r="D10" s="126">
        <f>'1 bevétel-kiadás'!D11</f>
        <v>365543156</v>
      </c>
      <c r="E10" s="127" t="s">
        <v>41</v>
      </c>
      <c r="F10" s="126">
        <f>'1 bevétel-kiadás'!K42</f>
        <v>380159029</v>
      </c>
      <c r="G10" s="126">
        <f>'1 bevétel-kiadás'!L42</f>
        <v>486126979</v>
      </c>
    </row>
    <row r="11" spans="1:7" ht="30" x14ac:dyDescent="0.2">
      <c r="A11" s="120">
        <v>4</v>
      </c>
      <c r="B11" s="128" t="s">
        <v>19</v>
      </c>
      <c r="C11" s="126">
        <f>'[1]1 bevétel-kiadás'!K12</f>
        <v>0</v>
      </c>
      <c r="D11" s="126">
        <v>0</v>
      </c>
      <c r="E11" s="129" t="s">
        <v>100</v>
      </c>
      <c r="F11" s="130">
        <f>'1 bevétel-kiadás'!K43</f>
        <v>282523801</v>
      </c>
      <c r="G11" s="130">
        <f>'1 bevétel-kiadás'!L43</f>
        <v>300083271</v>
      </c>
    </row>
    <row r="12" spans="1:7" ht="15" x14ac:dyDescent="0.2">
      <c r="A12" s="120">
        <v>5</v>
      </c>
      <c r="B12" s="128" t="s">
        <v>20</v>
      </c>
      <c r="C12" s="126">
        <f>'1 bevétel-kiadás'!K13</f>
        <v>3000000</v>
      </c>
      <c r="D12" s="126">
        <f>'1 bevétel-kiadás'!L13</f>
        <v>9450475</v>
      </c>
      <c r="E12" s="127" t="s">
        <v>42</v>
      </c>
      <c r="F12" s="126">
        <f>SUM(F13:F17)</f>
        <v>91949981</v>
      </c>
      <c r="G12" s="126">
        <f>SUM(G13:G17)</f>
        <v>90369933</v>
      </c>
    </row>
    <row r="13" spans="1:7" ht="28.5" x14ac:dyDescent="0.2">
      <c r="A13" s="120">
        <v>6</v>
      </c>
      <c r="B13" s="128" t="s">
        <v>68</v>
      </c>
      <c r="C13" s="126">
        <v>0</v>
      </c>
      <c r="D13" s="126">
        <f>'[1]1 bevétel-kiadás'!D14</f>
        <v>0</v>
      </c>
      <c r="E13" s="13" t="s">
        <v>214</v>
      </c>
      <c r="F13" s="126">
        <f>'1 bevétel-kiadás'!K45</f>
        <v>5000000</v>
      </c>
      <c r="G13" s="126">
        <f>'1 bevétel-kiadás'!L45</f>
        <v>4666388</v>
      </c>
    </row>
    <row r="14" spans="1:7" ht="28.5" x14ac:dyDescent="0.2">
      <c r="A14" s="120">
        <v>7</v>
      </c>
      <c r="B14" s="125" t="s">
        <v>22</v>
      </c>
      <c r="C14" s="126">
        <f>'1 bevétel-kiadás'!K16</f>
        <v>218754023</v>
      </c>
      <c r="D14" s="126">
        <f>'1 bevétel-kiadás'!L16</f>
        <v>276311693</v>
      </c>
      <c r="E14" s="13" t="s">
        <v>43</v>
      </c>
      <c r="F14" s="126">
        <f>'1 bevétel-kiadás'!K46</f>
        <v>0</v>
      </c>
      <c r="G14" s="126">
        <f>'1 bevétel-kiadás'!L46</f>
        <v>0</v>
      </c>
    </row>
    <row r="15" spans="1:7" ht="30" x14ac:dyDescent="0.2">
      <c r="A15" s="120">
        <v>8</v>
      </c>
      <c r="B15" s="125" t="s">
        <v>23</v>
      </c>
      <c r="C15" s="126">
        <f>'1 bevétel-kiadás'!K17</f>
        <v>26002480</v>
      </c>
      <c r="D15" s="126">
        <f>'1 bevétel-kiadás'!L17</f>
        <v>28610163</v>
      </c>
      <c r="E15" s="13" t="s">
        <v>215</v>
      </c>
      <c r="F15" s="126">
        <f>'1 bevétel-kiadás'!K47</f>
        <v>0</v>
      </c>
      <c r="G15" s="126">
        <f>'1 bevétel-kiadás'!L47</f>
        <v>134000</v>
      </c>
    </row>
    <row r="16" spans="1:7" ht="30" x14ac:dyDescent="0.2">
      <c r="A16" s="120">
        <v>9</v>
      </c>
      <c r="B16" s="125" t="s">
        <v>24</v>
      </c>
      <c r="C16" s="126">
        <f>'1 bevétel-kiadás'!K18</f>
        <v>0</v>
      </c>
      <c r="D16" s="126">
        <f>'1 bevétel-kiadás'!L18</f>
        <v>2641095</v>
      </c>
      <c r="E16" s="13" t="s">
        <v>216</v>
      </c>
      <c r="F16" s="126">
        <f>'1 bevétel-kiadás'!K48</f>
        <v>1149981</v>
      </c>
      <c r="G16" s="126">
        <f>'1 bevétel-kiadás'!L48</f>
        <v>1149981</v>
      </c>
    </row>
    <row r="17" spans="1:7" ht="30" x14ac:dyDescent="0.2">
      <c r="A17" s="120">
        <v>10</v>
      </c>
      <c r="B17" s="125" t="s">
        <v>148</v>
      </c>
      <c r="C17" s="126">
        <f>'1 bevétel-kiadás'!K19</f>
        <v>0</v>
      </c>
      <c r="D17" s="126">
        <f>'1 bevétel-kiadás'!L19</f>
        <v>0</v>
      </c>
      <c r="E17" s="13" t="s">
        <v>44</v>
      </c>
      <c r="F17" s="126">
        <f>'1 bevétel-kiadás'!K49</f>
        <v>85800000</v>
      </c>
      <c r="G17" s="126">
        <f>'1 bevétel-kiadás'!L49</f>
        <v>84419564</v>
      </c>
    </row>
    <row r="18" spans="1:7" ht="30" x14ac:dyDescent="0.2">
      <c r="A18" s="120">
        <v>11</v>
      </c>
      <c r="B18" s="133" t="s">
        <v>26</v>
      </c>
      <c r="C18" s="126">
        <f>C8+C9+C14+C15</f>
        <v>897243921</v>
      </c>
      <c r="D18" s="126">
        <f>D8+D9+D14+D15+D16</f>
        <v>1155638191</v>
      </c>
      <c r="E18" s="132" t="s">
        <v>128</v>
      </c>
      <c r="F18" s="182">
        <f>'1 bevétel-kiadás'!K50</f>
        <v>2000000</v>
      </c>
      <c r="G18" s="182">
        <f>'1 bevétel-kiadás'!L50</f>
        <v>2137800</v>
      </c>
    </row>
    <row r="19" spans="1:7" ht="30" x14ac:dyDescent="0.2">
      <c r="A19" s="120">
        <v>12</v>
      </c>
      <c r="B19" s="125" t="s">
        <v>27</v>
      </c>
      <c r="C19" s="126">
        <f>'1 bevétel-kiadás'!K21</f>
        <v>12478000</v>
      </c>
      <c r="D19" s="126">
        <f>'1 bevétel-kiadás'!L21</f>
        <v>32462085</v>
      </c>
      <c r="E19" s="127" t="s">
        <v>45</v>
      </c>
      <c r="F19" s="166">
        <f>SUM(F20:F21)</f>
        <v>30074144</v>
      </c>
      <c r="G19" s="166">
        <f>SUM(G20:G21)</f>
        <v>81561571</v>
      </c>
    </row>
    <row r="20" spans="1:7" ht="30" x14ac:dyDescent="0.2">
      <c r="A20" s="120">
        <v>13</v>
      </c>
      <c r="B20" s="125" t="s">
        <v>28</v>
      </c>
      <c r="C20" s="126">
        <f>'1 bevétel-kiadás'!K22</f>
        <v>6650096</v>
      </c>
      <c r="D20" s="126">
        <f>'1 bevétel-kiadás'!L22</f>
        <v>10303816</v>
      </c>
      <c r="E20" s="131" t="s">
        <v>46</v>
      </c>
      <c r="F20" s="126">
        <f>'1 bevétel-kiadás'!K52</f>
        <v>30074144</v>
      </c>
      <c r="G20" s="126">
        <f>'1 bevétel-kiadás'!L52</f>
        <v>81561571</v>
      </c>
    </row>
    <row r="21" spans="1:7" ht="45" x14ac:dyDescent="0.2">
      <c r="A21" s="120">
        <v>14</v>
      </c>
      <c r="B21" s="125" t="s">
        <v>29</v>
      </c>
      <c r="C21" s="126">
        <f>'1 bevétel-kiadás'!K23</f>
        <v>0</v>
      </c>
      <c r="D21" s="126">
        <f>'1 bevétel-kiadás'!L23</f>
        <v>1480000</v>
      </c>
      <c r="E21" s="131" t="s">
        <v>47</v>
      </c>
      <c r="F21" s="126">
        <f>'1 bevétel-kiadás'!K53</f>
        <v>0</v>
      </c>
      <c r="G21" s="126">
        <f>'1 bevétel-kiadás'!L53</f>
        <v>0</v>
      </c>
    </row>
    <row r="22" spans="1:7" ht="30" x14ac:dyDescent="0.2">
      <c r="A22" s="120">
        <v>15</v>
      </c>
      <c r="B22" s="125" t="s">
        <v>30</v>
      </c>
      <c r="C22" s="126">
        <f>'1 bevétel-kiadás'!K24</f>
        <v>0</v>
      </c>
      <c r="D22" s="126">
        <f>'1 bevétel-kiadás'!L24</f>
        <v>0</v>
      </c>
      <c r="E22" s="134" t="s">
        <v>101</v>
      </c>
      <c r="F22" s="126">
        <f>F19+F12+F10+F9+F8+F18</f>
        <v>966559160</v>
      </c>
      <c r="G22" s="126">
        <f>G19+G12+G10+G9+G8+G18</f>
        <v>1115248137</v>
      </c>
    </row>
    <row r="23" spans="1:7" ht="15" x14ac:dyDescent="0.2">
      <c r="A23" s="120">
        <v>16</v>
      </c>
      <c r="B23" s="133" t="s">
        <v>32</v>
      </c>
      <c r="C23" s="126">
        <f>SUM(C19:C22)</f>
        <v>19128096</v>
      </c>
      <c r="D23" s="126">
        <f>SUM(D19:D22)</f>
        <v>44245901</v>
      </c>
      <c r="E23" s="132" t="s">
        <v>49</v>
      </c>
      <c r="F23" s="126">
        <f>'1 bevétel-kiadás'!K55</f>
        <v>219308999.99999997</v>
      </c>
      <c r="G23" s="126">
        <f>'1 bevétel-kiadás'!L55</f>
        <v>180446477</v>
      </c>
    </row>
    <row r="24" spans="1:7" ht="15" x14ac:dyDescent="0.2">
      <c r="A24" s="120">
        <v>17</v>
      </c>
      <c r="B24" s="137" t="s">
        <v>103</v>
      </c>
      <c r="C24" s="126">
        <f>C23+C18</f>
        <v>916372017</v>
      </c>
      <c r="D24" s="126">
        <f>D23+D18</f>
        <v>1199884092</v>
      </c>
      <c r="E24" s="132" t="s">
        <v>50</v>
      </c>
      <c r="F24" s="126">
        <f>'1 bevétel-kiadás'!K56</f>
        <v>39287999.75</v>
      </c>
      <c r="G24" s="126">
        <f>'1 bevétel-kiadás'!L56</f>
        <v>30232794</v>
      </c>
    </row>
    <row r="25" spans="1:7" ht="28.5" x14ac:dyDescent="0.2">
      <c r="A25" s="120">
        <v>18</v>
      </c>
      <c r="B25" s="138" t="s">
        <v>239</v>
      </c>
      <c r="C25" s="126">
        <f>'1 bevétel-kiadás'!K28</f>
        <v>53400000</v>
      </c>
      <c r="D25" s="126">
        <f>'1 bevétel-kiadás'!L28</f>
        <v>78221662</v>
      </c>
      <c r="E25" s="135" t="s">
        <v>52</v>
      </c>
      <c r="F25" s="126">
        <f>'1 bevétel-kiadás'!K57</f>
        <v>0</v>
      </c>
      <c r="G25" s="126">
        <f>'1 bevétel-kiadás'!L57</f>
        <v>0</v>
      </c>
    </row>
    <row r="26" spans="1:7" ht="45" x14ac:dyDescent="0.2">
      <c r="A26" s="120">
        <v>19</v>
      </c>
      <c r="B26" s="138" t="s">
        <v>34</v>
      </c>
      <c r="C26" s="126">
        <f>'1 bevétel-kiadás'!K29</f>
        <v>264134304</v>
      </c>
      <c r="D26" s="126">
        <f>'1 bevétel-kiadás'!L29</f>
        <v>262753059</v>
      </c>
      <c r="E26" s="136" t="s">
        <v>53</v>
      </c>
      <c r="F26" s="126">
        <f>'1 bevétel-kiadás'!K58</f>
        <v>0</v>
      </c>
      <c r="G26" s="126">
        <f>'1 bevétel-kiadás'!L58</f>
        <v>0</v>
      </c>
    </row>
    <row r="27" spans="1:7" ht="15" x14ac:dyDescent="0.2">
      <c r="A27" s="120">
        <v>20</v>
      </c>
      <c r="B27" s="138" t="s">
        <v>35</v>
      </c>
      <c r="C27" s="126">
        <f>'1 bevétel-kiadás'!K30</f>
        <v>0</v>
      </c>
      <c r="D27" s="126">
        <f>'1 bevétel-kiadás'!L30</f>
        <v>8904002</v>
      </c>
      <c r="E27" s="134" t="s">
        <v>102</v>
      </c>
      <c r="F27" s="126">
        <f>F24+F23</f>
        <v>258596999.74999997</v>
      </c>
      <c r="G27" s="126">
        <f>G24+G23+G26</f>
        <v>210679271</v>
      </c>
    </row>
    <row r="28" spans="1:7" x14ac:dyDescent="0.2">
      <c r="A28" s="120">
        <v>21</v>
      </c>
      <c r="B28" s="140" t="s">
        <v>105</v>
      </c>
      <c r="C28" s="126">
        <f>C24+C27+C26+C25</f>
        <v>1233906321</v>
      </c>
      <c r="D28" s="126">
        <f>D24+D27+D26+D25</f>
        <v>1549762815</v>
      </c>
      <c r="E28" s="137" t="s">
        <v>104</v>
      </c>
      <c r="F28" s="126">
        <f>F22+F27</f>
        <v>1225156159.75</v>
      </c>
      <c r="G28" s="126">
        <f>G22+G27</f>
        <v>1325927408</v>
      </c>
    </row>
    <row r="29" spans="1:7" ht="15" x14ac:dyDescent="0.2">
      <c r="A29" s="120">
        <v>22</v>
      </c>
      <c r="B29" s="184"/>
      <c r="C29" s="185"/>
      <c r="D29" s="185"/>
      <c r="E29" s="8" t="s">
        <v>311</v>
      </c>
      <c r="F29" s="126">
        <f>'1 bevétel-kiadás'!K63</f>
        <v>0</v>
      </c>
      <c r="G29" s="126">
        <f>'1 bevétel-kiadás'!L63</f>
        <v>214928822</v>
      </c>
    </row>
    <row r="30" spans="1:7" ht="15" x14ac:dyDescent="0.2">
      <c r="A30" s="120">
        <v>23</v>
      </c>
      <c r="E30" s="8" t="s">
        <v>312</v>
      </c>
      <c r="F30" s="126">
        <f>'1 bevétel-kiadás'!K64</f>
        <v>8750161</v>
      </c>
      <c r="G30" s="126">
        <f>'1 bevétel-kiadás'!L64</f>
        <v>8906585</v>
      </c>
    </row>
    <row r="31" spans="1:7" x14ac:dyDescent="0.2">
      <c r="A31" s="120">
        <v>24</v>
      </c>
      <c r="E31" s="139" t="s">
        <v>106</v>
      </c>
      <c r="F31" s="126">
        <f>F30+F28</f>
        <v>1233906320.75</v>
      </c>
      <c r="G31" s="126">
        <f>G30+G28+G29</f>
        <v>1549762815</v>
      </c>
    </row>
    <row r="32" spans="1:7" ht="83.25" customHeight="1" x14ac:dyDescent="0.2"/>
    <row r="33" ht="54" customHeight="1" x14ac:dyDescent="0.2"/>
    <row r="41" ht="68.25" customHeight="1" x14ac:dyDescent="0.2"/>
    <row r="47" ht="97.5" customHeight="1" x14ac:dyDescent="0.2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P28"/>
  <sheetViews>
    <sheetView view="pageBreakPreview" topLeftCell="B1" zoomScale="70" zoomScaleNormal="75" zoomScaleSheetLayoutView="70" workbookViewId="0">
      <selection activeCell="H20" sqref="H20"/>
    </sheetView>
  </sheetViews>
  <sheetFormatPr defaultColWidth="9.140625" defaultRowHeight="12.75" x14ac:dyDescent="0.2"/>
  <cols>
    <col min="1" max="1" width="7.28515625" style="1" customWidth="1"/>
    <col min="2" max="2" width="50" style="18" customWidth="1"/>
    <col min="3" max="4" width="19.42578125" style="3" customWidth="1"/>
    <col min="5" max="6" width="19.28515625" style="3" customWidth="1"/>
    <col min="7" max="8" width="17.5703125" style="3" customWidth="1"/>
    <col min="9" max="9" width="17.28515625" style="3" customWidth="1"/>
    <col min="10" max="10" width="17.5703125" style="3" customWidth="1"/>
    <col min="11" max="11" width="19.5703125" style="3" customWidth="1"/>
    <col min="12" max="12" width="18.7109375" style="3" customWidth="1"/>
    <col min="13" max="13" width="19.42578125" style="3" customWidth="1"/>
    <col min="14" max="14" width="19.7109375" style="3" customWidth="1"/>
    <col min="15" max="15" width="19.28515625" style="3" customWidth="1"/>
    <col min="16" max="16" width="19.5703125" style="3" customWidth="1"/>
    <col min="17" max="16384" width="9.140625" style="1"/>
  </cols>
  <sheetData>
    <row r="3" spans="1:16" x14ac:dyDescent="0.2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</row>
    <row r="4" spans="1:16" ht="27.75" x14ac:dyDescent="0.4">
      <c r="B4" s="97"/>
      <c r="L4" s="200" t="s">
        <v>306</v>
      </c>
      <c r="M4" s="200"/>
      <c r="N4" s="200"/>
      <c r="O4" s="200"/>
      <c r="P4" s="200"/>
    </row>
    <row r="5" spans="1:16" ht="27.75" x14ac:dyDescent="0.4">
      <c r="B5" s="181" t="s">
        <v>286</v>
      </c>
    </row>
    <row r="6" spans="1:16" ht="20.25" x14ac:dyDescent="0.3">
      <c r="B6" s="98"/>
      <c r="N6" s="3" t="s">
        <v>186</v>
      </c>
    </row>
    <row r="7" spans="1:16" ht="79.5" customHeight="1" x14ac:dyDescent="0.2">
      <c r="B7" s="47" t="s">
        <v>0</v>
      </c>
      <c r="C7" s="41" t="s">
        <v>1</v>
      </c>
      <c r="D7" s="41" t="s">
        <v>59</v>
      </c>
      <c r="E7" s="41" t="s">
        <v>58</v>
      </c>
      <c r="F7" s="41" t="s">
        <v>60</v>
      </c>
      <c r="G7" s="41" t="s">
        <v>2</v>
      </c>
      <c r="H7" s="41" t="s">
        <v>61</v>
      </c>
      <c r="I7" s="41" t="s">
        <v>65</v>
      </c>
      <c r="J7" s="41" t="s">
        <v>62</v>
      </c>
      <c r="K7" s="4" t="s">
        <v>3</v>
      </c>
      <c r="L7" s="4" t="s">
        <v>4</v>
      </c>
      <c r="M7" s="4" t="s">
        <v>63</v>
      </c>
      <c r="N7" s="4" t="s">
        <v>64</v>
      </c>
      <c r="O7" s="4" t="s">
        <v>66</v>
      </c>
      <c r="P7" s="4" t="s">
        <v>67</v>
      </c>
    </row>
    <row r="8" spans="1:16" ht="14.25" x14ac:dyDescent="0.2">
      <c r="B8" s="40" t="s">
        <v>5</v>
      </c>
      <c r="C8" s="41" t="s">
        <v>6</v>
      </c>
      <c r="D8" s="40" t="s">
        <v>7</v>
      </c>
      <c r="E8" s="41" t="s">
        <v>8</v>
      </c>
      <c r="F8" s="41" t="s">
        <v>9</v>
      </c>
      <c r="G8" s="41" t="s">
        <v>10</v>
      </c>
      <c r="H8" s="41" t="s">
        <v>11</v>
      </c>
      <c r="I8" s="41" t="s">
        <v>12</v>
      </c>
      <c r="J8" s="41" t="s">
        <v>13</v>
      </c>
      <c r="K8" s="41" t="s">
        <v>14</v>
      </c>
      <c r="L8" s="41" t="s">
        <v>15</v>
      </c>
      <c r="M8" s="41" t="s">
        <v>16</v>
      </c>
      <c r="N8" s="41" t="s">
        <v>17</v>
      </c>
      <c r="O8" s="41" t="s">
        <v>69</v>
      </c>
      <c r="P8" s="41" t="s">
        <v>70</v>
      </c>
    </row>
    <row r="9" spans="1:16" ht="14.25" x14ac:dyDescent="0.2">
      <c r="A9" s="1">
        <v>1</v>
      </c>
      <c r="B9" s="16" t="s">
        <v>141</v>
      </c>
      <c r="C9" s="99">
        <v>5</v>
      </c>
      <c r="D9" s="99">
        <v>5</v>
      </c>
      <c r="E9" s="99">
        <v>14</v>
      </c>
      <c r="F9" s="99">
        <v>14</v>
      </c>
      <c r="G9" s="99">
        <v>4</v>
      </c>
      <c r="H9" s="99">
        <v>4</v>
      </c>
      <c r="I9" s="99">
        <v>14</v>
      </c>
      <c r="J9" s="99">
        <v>14</v>
      </c>
      <c r="K9" s="99">
        <f>C9+E9+G9+I9</f>
        <v>37</v>
      </c>
      <c r="L9" s="99">
        <f>D9+F9+H9+J9</f>
        <v>37</v>
      </c>
      <c r="M9" s="99">
        <f>C9+E9+G9+I9</f>
        <v>37</v>
      </c>
      <c r="N9" s="99">
        <v>0</v>
      </c>
      <c r="O9" s="99">
        <f>L9</f>
        <v>37</v>
      </c>
      <c r="P9" s="99">
        <v>0</v>
      </c>
    </row>
    <row r="10" spans="1:16" ht="14.25" x14ac:dyDescent="0.2">
      <c r="A10" s="1">
        <v>2</v>
      </c>
      <c r="B10" s="16" t="s">
        <v>142</v>
      </c>
      <c r="C10" s="99">
        <v>0</v>
      </c>
      <c r="D10" s="99">
        <v>0</v>
      </c>
      <c r="E10" s="99">
        <v>0</v>
      </c>
      <c r="F10" s="99">
        <v>0</v>
      </c>
      <c r="G10" s="99">
        <v>21</v>
      </c>
      <c r="H10" s="99">
        <v>21</v>
      </c>
      <c r="I10" s="99">
        <v>4</v>
      </c>
      <c r="J10" s="99">
        <v>4</v>
      </c>
      <c r="K10" s="99">
        <f>C10+E10+G10+I10</f>
        <v>25</v>
      </c>
      <c r="L10" s="99">
        <f>D10+F10+H10+J10</f>
        <v>25</v>
      </c>
      <c r="M10" s="99">
        <f>C10+E10+G10+I10</f>
        <v>25</v>
      </c>
      <c r="N10" s="99">
        <v>0</v>
      </c>
      <c r="O10" s="99">
        <f>L10</f>
        <v>25</v>
      </c>
      <c r="P10" s="99">
        <v>0</v>
      </c>
    </row>
    <row r="11" spans="1:16" s="100" customFormat="1" ht="15" x14ac:dyDescent="0.2">
      <c r="A11" s="100">
        <v>9</v>
      </c>
      <c r="B11" s="101" t="s">
        <v>96</v>
      </c>
      <c r="C11" s="102">
        <f>SUM(C9:C10)</f>
        <v>5</v>
      </c>
      <c r="D11" s="102">
        <f>SUM(D9:D10)</f>
        <v>5</v>
      </c>
      <c r="E11" s="102">
        <f t="shared" ref="E11:P11" si="0">SUM(E9:E10)</f>
        <v>14</v>
      </c>
      <c r="F11" s="102">
        <f t="shared" si="0"/>
        <v>14</v>
      </c>
      <c r="G11" s="102">
        <f t="shared" si="0"/>
        <v>25</v>
      </c>
      <c r="H11" s="102">
        <f t="shared" si="0"/>
        <v>25</v>
      </c>
      <c r="I11" s="102">
        <f t="shared" si="0"/>
        <v>18</v>
      </c>
      <c r="J11" s="102">
        <f t="shared" si="0"/>
        <v>18</v>
      </c>
      <c r="K11" s="102">
        <f t="shared" si="0"/>
        <v>62</v>
      </c>
      <c r="L11" s="102">
        <f t="shared" si="0"/>
        <v>62</v>
      </c>
      <c r="M11" s="102">
        <f t="shared" si="0"/>
        <v>62</v>
      </c>
      <c r="N11" s="102">
        <f t="shared" si="0"/>
        <v>0</v>
      </c>
      <c r="O11" s="102">
        <f>SUM(O9:O10)</f>
        <v>62</v>
      </c>
      <c r="P11" s="102">
        <f t="shared" si="0"/>
        <v>0</v>
      </c>
    </row>
    <row r="12" spans="1:16" s="100" customFormat="1" ht="57.75" customHeight="1" x14ac:dyDescent="0.2">
      <c r="B12" s="103"/>
      <c r="C12" s="105" t="s">
        <v>192</v>
      </c>
      <c r="D12" s="105" t="s">
        <v>192</v>
      </c>
      <c r="E12" s="3" t="s">
        <v>144</v>
      </c>
      <c r="F12" s="3" t="s">
        <v>144</v>
      </c>
      <c r="G12" s="3" t="s">
        <v>146</v>
      </c>
      <c r="H12" s="3" t="s">
        <v>146</v>
      </c>
      <c r="I12" s="18" t="s">
        <v>294</v>
      </c>
      <c r="J12" s="18" t="s">
        <v>294</v>
      </c>
      <c r="K12" s="104"/>
      <c r="L12" s="104"/>
      <c r="M12" s="104"/>
      <c r="N12" s="104"/>
      <c r="O12" s="104"/>
      <c r="P12" s="104"/>
    </row>
    <row r="13" spans="1:16" s="3" customFormat="1" ht="15" x14ac:dyDescent="0.2">
      <c r="A13" s="1"/>
      <c r="B13" s="17"/>
      <c r="C13" s="3" t="s">
        <v>179</v>
      </c>
      <c r="D13" s="3" t="s">
        <v>179</v>
      </c>
      <c r="E13" s="3" t="s">
        <v>145</v>
      </c>
      <c r="F13" s="3" t="s">
        <v>145</v>
      </c>
      <c r="G13" s="3" t="s">
        <v>147</v>
      </c>
      <c r="H13" s="3" t="s">
        <v>147</v>
      </c>
      <c r="I13" s="3" t="s">
        <v>225</v>
      </c>
      <c r="J13" s="3" t="s">
        <v>225</v>
      </c>
    </row>
    <row r="14" spans="1:16" s="3" customFormat="1" ht="15" x14ac:dyDescent="0.2">
      <c r="A14" s="1"/>
      <c r="B14" s="17"/>
      <c r="C14" s="3" t="s">
        <v>143</v>
      </c>
      <c r="D14" s="3" t="s">
        <v>343</v>
      </c>
      <c r="E14" s="3" t="s">
        <v>287</v>
      </c>
      <c r="F14" s="3" t="s">
        <v>287</v>
      </c>
      <c r="G14" s="3" t="s">
        <v>247</v>
      </c>
      <c r="H14" s="3" t="s">
        <v>247</v>
      </c>
      <c r="I14" s="3" t="s">
        <v>248</v>
      </c>
      <c r="J14" s="3" t="s">
        <v>248</v>
      </c>
    </row>
    <row r="15" spans="1:16" s="3" customFormat="1" ht="15" x14ac:dyDescent="0.2">
      <c r="A15" s="1"/>
      <c r="B15" s="17"/>
      <c r="C15" s="3" t="s">
        <v>190</v>
      </c>
      <c r="D15" s="3" t="s">
        <v>190</v>
      </c>
      <c r="E15" s="3" t="s">
        <v>288</v>
      </c>
      <c r="F15" s="3" t="s">
        <v>288</v>
      </c>
      <c r="G15" s="3" t="s">
        <v>290</v>
      </c>
      <c r="H15" s="3" t="s">
        <v>346</v>
      </c>
      <c r="I15" s="18" t="s">
        <v>226</v>
      </c>
      <c r="J15" s="18" t="s">
        <v>226</v>
      </c>
    </row>
    <row r="16" spans="1:16" s="3" customFormat="1" ht="25.5" x14ac:dyDescent="0.2">
      <c r="A16" s="1"/>
      <c r="B16" s="17"/>
      <c r="C16" s="105" t="s">
        <v>229</v>
      </c>
      <c r="D16" s="105" t="s">
        <v>229</v>
      </c>
      <c r="E16" s="105" t="s">
        <v>180</v>
      </c>
      <c r="F16" s="3" t="s">
        <v>289</v>
      </c>
      <c r="G16" s="105" t="s">
        <v>227</v>
      </c>
      <c r="H16" s="105" t="s">
        <v>227</v>
      </c>
      <c r="I16" s="18" t="s">
        <v>228</v>
      </c>
      <c r="J16" s="18" t="s">
        <v>228</v>
      </c>
    </row>
    <row r="17" spans="1:16" s="3" customFormat="1" ht="25.5" x14ac:dyDescent="0.2">
      <c r="A17" s="1"/>
      <c r="B17" s="17"/>
      <c r="C17" s="105"/>
      <c r="D17" s="105" t="s">
        <v>344</v>
      </c>
      <c r="E17" s="3" t="s">
        <v>289</v>
      </c>
      <c r="F17" s="3" t="s">
        <v>345</v>
      </c>
      <c r="G17" s="105" t="s">
        <v>291</v>
      </c>
      <c r="H17" s="105" t="s">
        <v>291</v>
      </c>
      <c r="I17" s="1" t="s">
        <v>230</v>
      </c>
      <c r="J17" s="1" t="s">
        <v>230</v>
      </c>
    </row>
    <row r="18" spans="1:16" ht="25.5" x14ac:dyDescent="0.2">
      <c r="B18" s="17"/>
      <c r="E18" s="3" t="s">
        <v>345</v>
      </c>
      <c r="F18" s="105" t="s">
        <v>232</v>
      </c>
      <c r="G18" s="105" t="s">
        <v>292</v>
      </c>
      <c r="H18" s="105" t="s">
        <v>292</v>
      </c>
      <c r="I18" s="18" t="s">
        <v>231</v>
      </c>
      <c r="J18" s="18" t="s">
        <v>231</v>
      </c>
    </row>
    <row r="19" spans="1:16" ht="38.25" x14ac:dyDescent="0.2">
      <c r="B19" s="17"/>
      <c r="E19" s="105" t="s">
        <v>232</v>
      </c>
      <c r="F19" s="3" t="s">
        <v>191</v>
      </c>
      <c r="G19" s="105" t="s">
        <v>293</v>
      </c>
      <c r="H19" s="105" t="s">
        <v>293</v>
      </c>
      <c r="I19" s="105" t="s">
        <v>234</v>
      </c>
      <c r="J19" s="105" t="s">
        <v>234</v>
      </c>
    </row>
    <row r="20" spans="1:16" ht="15" x14ac:dyDescent="0.2">
      <c r="B20" s="17"/>
      <c r="C20" s="105"/>
      <c r="E20" s="3" t="s">
        <v>191</v>
      </c>
      <c r="G20" s="3" t="s">
        <v>233</v>
      </c>
      <c r="H20" s="3" t="s">
        <v>233</v>
      </c>
      <c r="I20" s="3" t="s">
        <v>235</v>
      </c>
      <c r="J20" s="3" t="s">
        <v>235</v>
      </c>
      <c r="P20" s="3" t="s">
        <v>222</v>
      </c>
    </row>
    <row r="21" spans="1:16" ht="15" x14ac:dyDescent="0.2">
      <c r="B21" s="17"/>
      <c r="C21" s="105"/>
      <c r="G21" s="105"/>
    </row>
    <row r="22" spans="1:16" ht="15" x14ac:dyDescent="0.2">
      <c r="B22" s="17"/>
    </row>
    <row r="23" spans="1:16" ht="15" x14ac:dyDescent="0.2">
      <c r="B23" s="17"/>
    </row>
    <row r="24" spans="1:16" ht="15" x14ac:dyDescent="0.2">
      <c r="B24" s="17"/>
    </row>
    <row r="25" spans="1:16" ht="15" x14ac:dyDescent="0.2">
      <c r="B25" s="17"/>
    </row>
    <row r="26" spans="1:16" ht="15" x14ac:dyDescent="0.2">
      <c r="B26" s="17"/>
    </row>
    <row r="27" spans="1:16" ht="15" x14ac:dyDescent="0.2">
      <c r="B27" s="17"/>
    </row>
    <row r="28" spans="1:16" ht="15" x14ac:dyDescent="0.2">
      <c r="B28" s="17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view="pageBreakPreview" topLeftCell="A16" zoomScaleSheetLayoutView="100" workbookViewId="0">
      <selection activeCell="C25" sqref="C25"/>
    </sheetView>
  </sheetViews>
  <sheetFormatPr defaultColWidth="9.140625" defaultRowHeight="12.75" x14ac:dyDescent="0.2"/>
  <cols>
    <col min="1" max="1" width="6.7109375" style="74" customWidth="1"/>
    <col min="2" max="2" width="51.140625" style="1" customWidth="1"/>
    <col min="3" max="3" width="21.7109375" style="1" customWidth="1"/>
    <col min="4" max="4" width="17.140625" style="1" customWidth="1"/>
    <col min="5" max="5" width="19.28515625" style="151" customWidth="1"/>
    <col min="6" max="6" width="13.85546875" style="1" customWidth="1"/>
    <col min="7" max="7" width="12.85546875" style="1" customWidth="1"/>
    <col min="8" max="8" width="13.5703125" style="1" customWidth="1"/>
    <col min="9" max="9" width="20.7109375" style="1" customWidth="1"/>
    <col min="10" max="10" width="18" style="1" customWidth="1"/>
    <col min="11" max="16384" width="9.140625" style="1"/>
  </cols>
  <sheetData>
    <row r="1" spans="1:7" x14ac:dyDescent="0.2">
      <c r="B1" s="200" t="s">
        <v>307</v>
      </c>
      <c r="C1" s="200"/>
      <c r="D1" s="200"/>
      <c r="E1" s="200"/>
    </row>
    <row r="2" spans="1:7" x14ac:dyDescent="0.2">
      <c r="B2" s="200"/>
      <c r="C2" s="200"/>
      <c r="D2" s="200"/>
      <c r="E2" s="200"/>
    </row>
    <row r="3" spans="1:7" ht="19.5" customHeight="1" x14ac:dyDescent="0.3">
      <c r="B3" s="176" t="s">
        <v>295</v>
      </c>
    </row>
    <row r="4" spans="1:7" x14ac:dyDescent="0.2">
      <c r="E4" s="151" t="s">
        <v>75</v>
      </c>
    </row>
    <row r="5" spans="1:7" ht="13.5" thickBot="1" x14ac:dyDescent="0.25">
      <c r="B5" s="46" t="s">
        <v>5</v>
      </c>
      <c r="C5" s="46" t="s">
        <v>149</v>
      </c>
      <c r="D5" s="46" t="s">
        <v>7</v>
      </c>
      <c r="E5" s="152" t="s">
        <v>8</v>
      </c>
    </row>
    <row r="6" spans="1:7" ht="48" customHeight="1" x14ac:dyDescent="0.2">
      <c r="A6" s="74">
        <v>1</v>
      </c>
      <c r="B6" s="106" t="s">
        <v>150</v>
      </c>
      <c r="C6" s="107" t="s">
        <v>151</v>
      </c>
      <c r="D6" s="107" t="s">
        <v>152</v>
      </c>
      <c r="E6" s="153" t="s">
        <v>153</v>
      </c>
    </row>
    <row r="7" spans="1:7" ht="45" x14ac:dyDescent="0.2">
      <c r="A7" s="74">
        <v>2</v>
      </c>
      <c r="B7" s="42" t="s">
        <v>135</v>
      </c>
      <c r="C7" s="43">
        <f>131073030+43000000</f>
        <v>174073030</v>
      </c>
      <c r="D7" s="108">
        <v>43000000</v>
      </c>
      <c r="E7" s="154" t="s">
        <v>154</v>
      </c>
      <c r="G7" s="109"/>
    </row>
    <row r="8" spans="1:7" x14ac:dyDescent="0.2">
      <c r="A8" s="74">
        <v>3</v>
      </c>
      <c r="B8" s="42" t="s">
        <v>136</v>
      </c>
      <c r="C8" s="43">
        <f>74971005+7000000</f>
        <v>81971005</v>
      </c>
      <c r="D8" s="108">
        <v>10000000</v>
      </c>
      <c r="E8" s="154" t="s">
        <v>155</v>
      </c>
      <c r="G8" s="109"/>
    </row>
    <row r="9" spans="1:7" x14ac:dyDescent="0.2">
      <c r="A9" s="74">
        <v>4</v>
      </c>
      <c r="B9" s="42" t="s">
        <v>137</v>
      </c>
      <c r="C9" s="43">
        <v>108748181</v>
      </c>
      <c r="D9" s="108">
        <v>0</v>
      </c>
      <c r="E9" s="155"/>
      <c r="G9" s="109"/>
    </row>
    <row r="10" spans="1:7" ht="22.5" x14ac:dyDescent="0.2">
      <c r="A10" s="74">
        <v>5</v>
      </c>
      <c r="B10" s="42" t="s">
        <v>123</v>
      </c>
      <c r="C10" s="43">
        <v>0</v>
      </c>
      <c r="D10" s="108">
        <v>0</v>
      </c>
      <c r="E10" s="154" t="s">
        <v>156</v>
      </c>
      <c r="G10" s="109"/>
    </row>
    <row r="11" spans="1:7" x14ac:dyDescent="0.2">
      <c r="A11" s="74">
        <v>6</v>
      </c>
      <c r="B11" s="42" t="s">
        <v>138</v>
      </c>
      <c r="C11" s="43">
        <v>50750940</v>
      </c>
      <c r="D11" s="108">
        <v>0</v>
      </c>
      <c r="E11" s="155"/>
      <c r="G11" s="109"/>
    </row>
    <row r="12" spans="1:7" x14ac:dyDescent="0.2">
      <c r="A12" s="74">
        <v>7</v>
      </c>
      <c r="B12" s="42" t="s">
        <v>139</v>
      </c>
      <c r="C12" s="43">
        <v>9450475</v>
      </c>
      <c r="D12" s="108">
        <v>0</v>
      </c>
      <c r="E12" s="155"/>
      <c r="G12" s="109"/>
    </row>
    <row r="13" spans="1:7" ht="15" thickBot="1" x14ac:dyDescent="0.25">
      <c r="A13" s="74">
        <v>10</v>
      </c>
      <c r="B13" s="111" t="s">
        <v>157</v>
      </c>
      <c r="C13" s="112">
        <f>SUM(C7:C12)</f>
        <v>424993631</v>
      </c>
      <c r="D13" s="112">
        <f>SUM(D7:D12)</f>
        <v>53000000</v>
      </c>
      <c r="E13" s="156"/>
      <c r="G13" s="109"/>
    </row>
    <row r="14" spans="1:7" ht="25.5" x14ac:dyDescent="0.2">
      <c r="A14" s="74">
        <v>11</v>
      </c>
      <c r="B14" s="106" t="s">
        <v>158</v>
      </c>
      <c r="C14" s="114" t="s">
        <v>151</v>
      </c>
      <c r="D14" s="107" t="s">
        <v>152</v>
      </c>
      <c r="E14" s="153" t="s">
        <v>153</v>
      </c>
      <c r="G14" s="109"/>
    </row>
    <row r="15" spans="1:7" ht="14.25" x14ac:dyDescent="0.2">
      <c r="A15" s="74">
        <v>12</v>
      </c>
      <c r="B15" s="115"/>
      <c r="C15" s="9">
        <v>0</v>
      </c>
      <c r="D15" s="9">
        <v>0</v>
      </c>
      <c r="E15" s="155"/>
    </row>
    <row r="16" spans="1:7" ht="14.25" x14ac:dyDescent="0.2">
      <c r="A16" s="74">
        <v>13</v>
      </c>
      <c r="B16" s="115"/>
      <c r="C16" s="9"/>
      <c r="D16" s="9"/>
      <c r="E16" s="155"/>
    </row>
    <row r="17" spans="1:5" ht="15" thickBot="1" x14ac:dyDescent="0.25">
      <c r="A17" s="74">
        <v>14</v>
      </c>
      <c r="B17" s="111" t="s">
        <v>159</v>
      </c>
      <c r="C17" s="112">
        <f>SUM(C15:C16)</f>
        <v>0</v>
      </c>
      <c r="D17" s="113">
        <f>SUM(D15:D16)</f>
        <v>0</v>
      </c>
      <c r="E17" s="156"/>
    </row>
    <row r="18" spans="1:5" ht="25.5" x14ac:dyDescent="0.2">
      <c r="A18" s="74">
        <v>15</v>
      </c>
      <c r="B18" s="106" t="s">
        <v>160</v>
      </c>
      <c r="C18" s="114" t="s">
        <v>151</v>
      </c>
      <c r="D18" s="107" t="s">
        <v>152</v>
      </c>
      <c r="E18" s="153" t="s">
        <v>153</v>
      </c>
    </row>
    <row r="19" spans="1:5" ht="14.25" x14ac:dyDescent="0.2">
      <c r="A19" s="74">
        <v>16</v>
      </c>
      <c r="B19" s="115" t="s">
        <v>161</v>
      </c>
      <c r="C19" s="110">
        <f>15347286*1.27+D19</f>
        <v>28991053.219999999</v>
      </c>
      <c r="D19" s="110">
        <v>9500000</v>
      </c>
      <c r="E19" s="155"/>
    </row>
    <row r="20" spans="1:5" ht="14.25" x14ac:dyDescent="0.2">
      <c r="A20" s="74">
        <v>17</v>
      </c>
      <c r="B20" s="115"/>
      <c r="C20" s="9"/>
      <c r="D20" s="9"/>
      <c r="E20" s="155"/>
    </row>
    <row r="21" spans="1:5" ht="15" thickBot="1" x14ac:dyDescent="0.25">
      <c r="A21" s="74">
        <v>18</v>
      </c>
      <c r="B21" s="111" t="s">
        <v>162</v>
      </c>
      <c r="C21" s="112">
        <f>SUM(C19:C20)</f>
        <v>28991053.219999999</v>
      </c>
      <c r="D21" s="112">
        <f>SUM(D19:D20)</f>
        <v>9500000</v>
      </c>
      <c r="E21" s="157"/>
    </row>
    <row r="22" spans="1:5" ht="25.5" x14ac:dyDescent="0.2">
      <c r="A22" s="74">
        <v>19</v>
      </c>
      <c r="B22" s="116" t="s">
        <v>163</v>
      </c>
      <c r="C22" s="114" t="s">
        <v>151</v>
      </c>
      <c r="D22" s="107" t="s">
        <v>152</v>
      </c>
      <c r="E22" s="153" t="s">
        <v>153</v>
      </c>
    </row>
    <row r="23" spans="1:5" ht="14.25" x14ac:dyDescent="0.2">
      <c r="A23" s="74">
        <v>20</v>
      </c>
      <c r="B23" s="115" t="s">
        <v>164</v>
      </c>
      <c r="C23" s="110">
        <f>(4481197+9199923)*1.27</f>
        <v>17375022.399999999</v>
      </c>
      <c r="D23" s="110">
        <v>0</v>
      </c>
      <c r="E23" s="158"/>
    </row>
    <row r="24" spans="1:5" ht="14.25" x14ac:dyDescent="0.2">
      <c r="A24" s="74">
        <v>21</v>
      </c>
      <c r="B24" s="115" t="s">
        <v>165</v>
      </c>
      <c r="C24" s="110">
        <f>(18807853+11952710+368426+110236+22497959)*1.27</f>
        <v>68246223.680000007</v>
      </c>
      <c r="D24" s="110">
        <v>0</v>
      </c>
      <c r="E24" s="158"/>
    </row>
    <row r="25" spans="1:5" ht="15" thickBot="1" x14ac:dyDescent="0.25">
      <c r="A25" s="74">
        <v>22</v>
      </c>
      <c r="B25" s="111" t="s">
        <v>166</v>
      </c>
      <c r="C25" s="112">
        <f>SUM(C23:C24)</f>
        <v>85621246.080000013</v>
      </c>
      <c r="D25" s="112">
        <f>SUM(D23:D24)</f>
        <v>0</v>
      </c>
      <c r="E25" s="157"/>
    </row>
    <row r="26" spans="1:5" ht="25.5" x14ac:dyDescent="0.2">
      <c r="A26" s="74">
        <v>23</v>
      </c>
      <c r="B26" s="106" t="s">
        <v>167</v>
      </c>
      <c r="C26" s="114" t="s">
        <v>151</v>
      </c>
      <c r="D26" s="107" t="s">
        <v>152</v>
      </c>
      <c r="E26" s="153" t="s">
        <v>153</v>
      </c>
    </row>
    <row r="27" spans="1:5" ht="14.25" x14ac:dyDescent="0.2">
      <c r="A27" s="74">
        <v>24</v>
      </c>
      <c r="B27" s="115" t="s">
        <v>168</v>
      </c>
      <c r="C27" s="9"/>
      <c r="D27" s="9"/>
      <c r="E27" s="155"/>
    </row>
    <row r="28" spans="1:5" ht="14.25" x14ac:dyDescent="0.2">
      <c r="A28" s="74">
        <v>25</v>
      </c>
      <c r="B28" s="115" t="s">
        <v>169</v>
      </c>
      <c r="C28" s="9"/>
      <c r="D28" s="9"/>
      <c r="E28" s="155"/>
    </row>
    <row r="29" spans="1:5" ht="15" thickBot="1" x14ac:dyDescent="0.25">
      <c r="A29" s="74">
        <v>26</v>
      </c>
      <c r="B29" s="111" t="s">
        <v>170</v>
      </c>
      <c r="C29" s="113">
        <f>SUM(C27:C28)</f>
        <v>0</v>
      </c>
      <c r="D29" s="113">
        <f>SUM(D27:D28)</f>
        <v>0</v>
      </c>
      <c r="E29" s="156"/>
    </row>
    <row r="30" spans="1:5" ht="26.25" customHeight="1" x14ac:dyDescent="0.3">
      <c r="A30" s="74">
        <v>27</v>
      </c>
      <c r="B30" s="117" t="s">
        <v>171</v>
      </c>
      <c r="C30" s="165">
        <f>SUM(C13,C17,C21,C25,C29)</f>
        <v>539605930.30000007</v>
      </c>
      <c r="D30" s="165">
        <f>SUM(D13,D17,D21,D25,D29)</f>
        <v>62500000</v>
      </c>
      <c r="E30" s="159"/>
    </row>
    <row r="32" spans="1:5" ht="15.75" x14ac:dyDescent="0.25">
      <c r="B32" s="118"/>
    </row>
    <row r="33" spans="2:2" x14ac:dyDescent="0.2">
      <c r="B33" s="119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21"/>
  <sheetViews>
    <sheetView view="pageBreakPreview" zoomScaleSheetLayoutView="100" workbookViewId="0">
      <selection activeCell="O15" sqref="O15"/>
    </sheetView>
  </sheetViews>
  <sheetFormatPr defaultColWidth="9.140625" defaultRowHeight="12.75" x14ac:dyDescent="0.2"/>
  <cols>
    <col min="1" max="1" width="4.85546875" style="1" customWidth="1"/>
    <col min="2" max="2" width="34.7109375" style="1" customWidth="1"/>
    <col min="3" max="3" width="9.7109375" style="1" customWidth="1"/>
    <col min="4" max="14" width="9.140625" style="1" customWidth="1"/>
    <col min="15" max="15" width="12.7109375" style="1" customWidth="1"/>
    <col min="16" max="16384" width="9.140625" style="1"/>
  </cols>
  <sheetData>
    <row r="2" spans="1:15" x14ac:dyDescent="0.2">
      <c r="B2" s="200" t="s">
        <v>308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x14ac:dyDescent="0.2">
      <c r="G3" s="199"/>
      <c r="H3" s="199"/>
      <c r="I3" s="199"/>
      <c r="J3" s="199"/>
      <c r="K3" s="199"/>
      <c r="L3" s="199"/>
      <c r="M3" s="199"/>
      <c r="N3" s="199"/>
      <c r="O3" s="199"/>
    </row>
    <row r="4" spans="1:15" ht="15.75" x14ac:dyDescent="0.25">
      <c r="B4" s="118" t="s">
        <v>296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B5" s="1" t="s">
        <v>347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 t="s">
        <v>75</v>
      </c>
    </row>
    <row r="6" spans="1:15" ht="15" x14ac:dyDescent="0.2">
      <c r="B6" s="141" t="s">
        <v>0</v>
      </c>
      <c r="C6" s="142" t="s">
        <v>107</v>
      </c>
      <c r="D6" s="142" t="s">
        <v>108</v>
      </c>
      <c r="E6" s="142" t="s">
        <v>109</v>
      </c>
      <c r="F6" s="142" t="s">
        <v>110</v>
      </c>
      <c r="G6" s="142" t="s">
        <v>111</v>
      </c>
      <c r="H6" s="142" t="s">
        <v>112</v>
      </c>
      <c r="I6" s="142" t="s">
        <v>113</v>
      </c>
      <c r="J6" s="142" t="s">
        <v>114</v>
      </c>
      <c r="K6" s="142" t="s">
        <v>115</v>
      </c>
      <c r="L6" s="142" t="s">
        <v>116</v>
      </c>
      <c r="M6" s="142" t="s">
        <v>117</v>
      </c>
      <c r="N6" s="142" t="s">
        <v>118</v>
      </c>
      <c r="O6" s="143" t="s">
        <v>80</v>
      </c>
    </row>
    <row r="7" spans="1:15" ht="14.25" x14ac:dyDescent="0.2">
      <c r="B7" s="144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69</v>
      </c>
    </row>
    <row r="8" spans="1:15" x14ac:dyDescent="0.2">
      <c r="A8" s="1">
        <v>1</v>
      </c>
      <c r="B8" s="145" t="s">
        <v>119</v>
      </c>
      <c r="C8" s="146">
        <f>$O$8/12</f>
        <v>48454117.895833336</v>
      </c>
      <c r="D8" s="146">
        <f t="shared" ref="D8:N8" si="0">$O$8/12</f>
        <v>48454117.895833336</v>
      </c>
      <c r="E8" s="146">
        <f t="shared" si="0"/>
        <v>48454117.895833336</v>
      </c>
      <c r="F8" s="146">
        <f t="shared" si="0"/>
        <v>48454117.895833336</v>
      </c>
      <c r="G8" s="146">
        <f t="shared" si="0"/>
        <v>48454117.895833336</v>
      </c>
      <c r="H8" s="146">
        <f t="shared" si="0"/>
        <v>48454117.895833336</v>
      </c>
      <c r="I8" s="146">
        <f t="shared" si="0"/>
        <v>48454117.895833336</v>
      </c>
      <c r="J8" s="146">
        <f t="shared" si="0"/>
        <v>48454117.895833336</v>
      </c>
      <c r="K8" s="146">
        <f t="shared" si="0"/>
        <v>48454117.895833336</v>
      </c>
      <c r="L8" s="146">
        <f t="shared" si="0"/>
        <v>48454117.895833336</v>
      </c>
      <c r="M8" s="146">
        <f t="shared" si="0"/>
        <v>48454117.895833336</v>
      </c>
      <c r="N8" s="146">
        <f t="shared" si="0"/>
        <v>48454117.895833336</v>
      </c>
      <c r="O8" s="147">
        <f>'1 bevétel-kiadás'!C65</f>
        <v>581449414.75</v>
      </c>
    </row>
    <row r="9" spans="1:15" x14ac:dyDescent="0.2">
      <c r="A9" s="1">
        <v>2</v>
      </c>
      <c r="B9" s="145" t="s">
        <v>120</v>
      </c>
      <c r="C9" s="146">
        <f>58583/12</f>
        <v>4881.916666666667</v>
      </c>
      <c r="D9" s="146">
        <f t="shared" ref="D9:N9" si="1">58583/12</f>
        <v>4881.916666666667</v>
      </c>
      <c r="E9" s="146">
        <f t="shared" si="1"/>
        <v>4881.916666666667</v>
      </c>
      <c r="F9" s="146">
        <f t="shared" si="1"/>
        <v>4881.916666666667</v>
      </c>
      <c r="G9" s="146">
        <f t="shared" si="1"/>
        <v>4881.916666666667</v>
      </c>
      <c r="H9" s="146">
        <f t="shared" si="1"/>
        <v>4881.916666666667</v>
      </c>
      <c r="I9" s="146">
        <f t="shared" si="1"/>
        <v>4881.916666666667</v>
      </c>
      <c r="J9" s="146">
        <f t="shared" si="1"/>
        <v>4881.916666666667</v>
      </c>
      <c r="K9" s="146">
        <f t="shared" si="1"/>
        <v>4881.916666666667</v>
      </c>
      <c r="L9" s="146">
        <f t="shared" si="1"/>
        <v>4881.916666666667</v>
      </c>
      <c r="M9" s="146">
        <f t="shared" si="1"/>
        <v>4881.916666666667</v>
      </c>
      <c r="N9" s="146">
        <f t="shared" si="1"/>
        <v>4881.916666666667</v>
      </c>
      <c r="O9" s="147">
        <f>'1 bevétel-kiadás'!E65</f>
        <v>112092400</v>
      </c>
    </row>
    <row r="10" spans="1:15" ht="25.5" x14ac:dyDescent="0.2">
      <c r="A10" s="1">
        <v>3</v>
      </c>
      <c r="B10" s="145" t="s">
        <v>121</v>
      </c>
      <c r="C10" s="146">
        <f>$O$10/12</f>
        <v>28074854.083333332</v>
      </c>
      <c r="D10" s="146">
        <f t="shared" ref="D10:N10" si="2">$O$10/12</f>
        <v>28074854.083333332</v>
      </c>
      <c r="E10" s="146">
        <f t="shared" si="2"/>
        <v>28074854.083333332</v>
      </c>
      <c r="F10" s="146">
        <f t="shared" si="2"/>
        <v>28074854.083333332</v>
      </c>
      <c r="G10" s="146">
        <f t="shared" si="2"/>
        <v>28074854.083333332</v>
      </c>
      <c r="H10" s="146">
        <f>$O$10/12</f>
        <v>28074854.083333332</v>
      </c>
      <c r="I10" s="146">
        <f t="shared" si="2"/>
        <v>28074854.083333332</v>
      </c>
      <c r="J10" s="146">
        <f t="shared" si="2"/>
        <v>28074854.083333332</v>
      </c>
      <c r="K10" s="146">
        <f t="shared" si="2"/>
        <v>28074854.083333332</v>
      </c>
      <c r="L10" s="146">
        <f t="shared" si="2"/>
        <v>28074854.083333332</v>
      </c>
      <c r="M10" s="146">
        <f t="shared" si="2"/>
        <v>28074854.083333332</v>
      </c>
      <c r="N10" s="146">
        <f t="shared" si="2"/>
        <v>28074854.083333332</v>
      </c>
      <c r="O10" s="147">
        <f>'1 bevétel-kiadás'!G65</f>
        <v>336898249</v>
      </c>
    </row>
    <row r="11" spans="1:15" x14ac:dyDescent="0.2">
      <c r="A11" s="1">
        <v>4</v>
      </c>
      <c r="B11" s="145" t="s">
        <v>185</v>
      </c>
      <c r="C11" s="146">
        <f>68700/12</f>
        <v>5725</v>
      </c>
      <c r="D11" s="146">
        <f t="shared" ref="D11:N11" si="3">68700/12</f>
        <v>5725</v>
      </c>
      <c r="E11" s="146">
        <f t="shared" si="3"/>
        <v>5725</v>
      </c>
      <c r="F11" s="146">
        <f t="shared" si="3"/>
        <v>5725</v>
      </c>
      <c r="G11" s="146">
        <f t="shared" si="3"/>
        <v>5725</v>
      </c>
      <c r="H11" s="146">
        <f t="shared" si="3"/>
        <v>5725</v>
      </c>
      <c r="I11" s="146">
        <f t="shared" si="3"/>
        <v>5725</v>
      </c>
      <c r="J11" s="146">
        <f t="shared" si="3"/>
        <v>5725</v>
      </c>
      <c r="K11" s="146">
        <f t="shared" si="3"/>
        <v>5725</v>
      </c>
      <c r="L11" s="146">
        <f t="shared" si="3"/>
        <v>5725</v>
      </c>
      <c r="M11" s="146">
        <f t="shared" si="3"/>
        <v>5725</v>
      </c>
      <c r="N11" s="146">
        <f t="shared" si="3"/>
        <v>5725</v>
      </c>
      <c r="O11" s="147">
        <f>'1 bevétel-kiadás'!I65</f>
        <v>203466257</v>
      </c>
    </row>
    <row r="12" spans="1:15" x14ac:dyDescent="0.2">
      <c r="A12" s="1">
        <v>5</v>
      </c>
      <c r="B12" s="148" t="s">
        <v>122</v>
      </c>
      <c r="C12" s="149">
        <f>SUM(C8:C11)</f>
        <v>76539578.895833328</v>
      </c>
      <c r="D12" s="149">
        <f t="shared" ref="D12:N12" si="4">SUM(D8:D11)</f>
        <v>76539578.895833328</v>
      </c>
      <c r="E12" s="149">
        <f t="shared" si="4"/>
        <v>76539578.895833328</v>
      </c>
      <c r="F12" s="149">
        <f t="shared" si="4"/>
        <v>76539578.895833328</v>
      </c>
      <c r="G12" s="149">
        <f t="shared" si="4"/>
        <v>76539578.895833328</v>
      </c>
      <c r="H12" s="149">
        <f t="shared" si="4"/>
        <v>76539578.895833328</v>
      </c>
      <c r="I12" s="149">
        <f t="shared" si="4"/>
        <v>76539578.895833328</v>
      </c>
      <c r="J12" s="149">
        <f t="shared" si="4"/>
        <v>76539578.895833328</v>
      </c>
      <c r="K12" s="149">
        <f t="shared" si="4"/>
        <v>76539578.895833328</v>
      </c>
      <c r="L12" s="149">
        <f t="shared" si="4"/>
        <v>76539578.895833328</v>
      </c>
      <c r="M12" s="149">
        <f t="shared" si="4"/>
        <v>76539578.895833328</v>
      </c>
      <c r="N12" s="149">
        <f t="shared" si="4"/>
        <v>76539578.895833328</v>
      </c>
      <c r="O12" s="149">
        <f>SUM(O8:O11)</f>
        <v>1233906320.75</v>
      </c>
    </row>
    <row r="14" spans="1:15" x14ac:dyDescent="0.2">
      <c r="B14" s="18" t="s">
        <v>348</v>
      </c>
      <c r="O14" s="1" t="s">
        <v>75</v>
      </c>
    </row>
    <row r="15" spans="1:15" ht="15" x14ac:dyDescent="0.2">
      <c r="B15" s="141" t="s">
        <v>0</v>
      </c>
      <c r="C15" s="142" t="s">
        <v>107</v>
      </c>
      <c r="D15" s="142" t="s">
        <v>108</v>
      </c>
      <c r="E15" s="142" t="s">
        <v>109</v>
      </c>
      <c r="F15" s="142" t="s">
        <v>110</v>
      </c>
      <c r="G15" s="142" t="s">
        <v>111</v>
      </c>
      <c r="H15" s="142" t="s">
        <v>112</v>
      </c>
      <c r="I15" s="142" t="s">
        <v>113</v>
      </c>
      <c r="J15" s="142" t="s">
        <v>114</v>
      </c>
      <c r="K15" s="142" t="s">
        <v>115</v>
      </c>
      <c r="L15" s="142" t="s">
        <v>116</v>
      </c>
      <c r="M15" s="142" t="s">
        <v>117</v>
      </c>
      <c r="N15" s="142" t="s">
        <v>118</v>
      </c>
      <c r="O15" s="143" t="s">
        <v>80</v>
      </c>
    </row>
    <row r="16" spans="1:15" ht="14.25" x14ac:dyDescent="0.2">
      <c r="B16" s="144" t="s">
        <v>5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13</v>
      </c>
      <c r="K16" s="9" t="s">
        <v>14</v>
      </c>
      <c r="L16" s="9" t="s">
        <v>15</v>
      </c>
      <c r="M16" s="9" t="s">
        <v>16</v>
      </c>
      <c r="N16" s="9" t="s">
        <v>17</v>
      </c>
      <c r="O16" s="9" t="s">
        <v>69</v>
      </c>
    </row>
    <row r="17" spans="1:15" x14ac:dyDescent="0.2">
      <c r="A17" s="1">
        <v>1</v>
      </c>
      <c r="B17" s="145" t="s">
        <v>119</v>
      </c>
      <c r="C17" s="146">
        <f>$O$8/12</f>
        <v>48454117.895833336</v>
      </c>
      <c r="D17" s="146">
        <f t="shared" ref="D17:N17" si="5">$O$8/12</f>
        <v>48454117.895833336</v>
      </c>
      <c r="E17" s="146">
        <f t="shared" si="5"/>
        <v>48454117.895833336</v>
      </c>
      <c r="F17" s="146">
        <f t="shared" si="5"/>
        <v>48454117.895833336</v>
      </c>
      <c r="G17" s="146">
        <f t="shared" si="5"/>
        <v>48454117.895833336</v>
      </c>
      <c r="H17" s="146">
        <f t="shared" si="5"/>
        <v>48454117.895833336</v>
      </c>
      <c r="I17" s="146">
        <f t="shared" si="5"/>
        <v>48454117.895833336</v>
      </c>
      <c r="J17" s="146">
        <f t="shared" si="5"/>
        <v>48454117.895833336</v>
      </c>
      <c r="K17" s="146">
        <f t="shared" si="5"/>
        <v>48454117.895833336</v>
      </c>
      <c r="L17" s="146">
        <f t="shared" si="5"/>
        <v>48454117.895833336</v>
      </c>
      <c r="M17" s="146">
        <f t="shared" si="5"/>
        <v>48454117.895833336</v>
      </c>
      <c r="N17" s="146">
        <f t="shared" si="5"/>
        <v>48454117.895833336</v>
      </c>
      <c r="O17" s="147">
        <f>'1 bevétel-kiadás'!D31</f>
        <v>817987921</v>
      </c>
    </row>
    <row r="18" spans="1:15" x14ac:dyDescent="0.2">
      <c r="A18" s="1">
        <v>2</v>
      </c>
      <c r="B18" s="145" t="s">
        <v>120</v>
      </c>
      <c r="C18" s="146">
        <f>58583/12</f>
        <v>4881.916666666667</v>
      </c>
      <c r="D18" s="146">
        <f t="shared" ref="D18:N18" si="6">58583/12</f>
        <v>4881.916666666667</v>
      </c>
      <c r="E18" s="146">
        <f t="shared" si="6"/>
        <v>4881.916666666667</v>
      </c>
      <c r="F18" s="146">
        <f t="shared" si="6"/>
        <v>4881.916666666667</v>
      </c>
      <c r="G18" s="146">
        <f t="shared" si="6"/>
        <v>4881.916666666667</v>
      </c>
      <c r="H18" s="146">
        <f t="shared" si="6"/>
        <v>4881.916666666667</v>
      </c>
      <c r="I18" s="146">
        <f t="shared" si="6"/>
        <v>4881.916666666667</v>
      </c>
      <c r="J18" s="146">
        <f t="shared" si="6"/>
        <v>4881.916666666667</v>
      </c>
      <c r="K18" s="146">
        <f t="shared" si="6"/>
        <v>4881.916666666667</v>
      </c>
      <c r="L18" s="146">
        <f t="shared" si="6"/>
        <v>4881.916666666667</v>
      </c>
      <c r="M18" s="146">
        <f t="shared" si="6"/>
        <v>4881.916666666667</v>
      </c>
      <c r="N18" s="146">
        <f t="shared" si="6"/>
        <v>4881.916666666667</v>
      </c>
      <c r="O18" s="147">
        <f>'1 bevétel-kiadás'!F31</f>
        <v>119002884</v>
      </c>
    </row>
    <row r="19" spans="1:15" ht="25.5" x14ac:dyDescent="0.2">
      <c r="A19" s="1">
        <v>3</v>
      </c>
      <c r="B19" s="145" t="s">
        <v>121</v>
      </c>
      <c r="C19" s="146">
        <f>$O$10/12</f>
        <v>28074854.083333332</v>
      </c>
      <c r="D19" s="146">
        <f t="shared" ref="D19:N19" si="7">$O$10/12</f>
        <v>28074854.083333332</v>
      </c>
      <c r="E19" s="146">
        <f t="shared" si="7"/>
        <v>28074854.083333332</v>
      </c>
      <c r="F19" s="146">
        <f t="shared" si="7"/>
        <v>28074854.083333332</v>
      </c>
      <c r="G19" s="146">
        <f t="shared" si="7"/>
        <v>28074854.083333332</v>
      </c>
      <c r="H19" s="146">
        <f>$O$10/12</f>
        <v>28074854.083333332</v>
      </c>
      <c r="I19" s="146">
        <f t="shared" si="7"/>
        <v>28074854.083333332</v>
      </c>
      <c r="J19" s="146">
        <f t="shared" si="7"/>
        <v>28074854.083333332</v>
      </c>
      <c r="K19" s="146">
        <f t="shared" si="7"/>
        <v>28074854.083333332</v>
      </c>
      <c r="L19" s="146">
        <f t="shared" si="7"/>
        <v>28074854.083333332</v>
      </c>
      <c r="M19" s="146">
        <f t="shared" si="7"/>
        <v>28074854.083333332</v>
      </c>
      <c r="N19" s="146">
        <f t="shared" si="7"/>
        <v>28074854.083333332</v>
      </c>
      <c r="O19" s="147">
        <f>'1 bevétel-kiadás'!H31</f>
        <v>401126060</v>
      </c>
    </row>
    <row r="20" spans="1:15" x14ac:dyDescent="0.2">
      <c r="A20" s="1">
        <v>4</v>
      </c>
      <c r="B20" s="145" t="s">
        <v>185</v>
      </c>
      <c r="C20" s="146">
        <f>68700/12</f>
        <v>5725</v>
      </c>
      <c r="D20" s="146">
        <f t="shared" ref="D20:N20" si="8">68700/12</f>
        <v>5725</v>
      </c>
      <c r="E20" s="146">
        <f t="shared" si="8"/>
        <v>5725</v>
      </c>
      <c r="F20" s="146">
        <f t="shared" si="8"/>
        <v>5725</v>
      </c>
      <c r="G20" s="146">
        <f t="shared" si="8"/>
        <v>5725</v>
      </c>
      <c r="H20" s="146">
        <f t="shared" si="8"/>
        <v>5725</v>
      </c>
      <c r="I20" s="146">
        <f t="shared" si="8"/>
        <v>5725</v>
      </c>
      <c r="J20" s="146">
        <f t="shared" si="8"/>
        <v>5725</v>
      </c>
      <c r="K20" s="146">
        <f t="shared" si="8"/>
        <v>5725</v>
      </c>
      <c r="L20" s="146">
        <f t="shared" si="8"/>
        <v>5725</v>
      </c>
      <c r="M20" s="146">
        <f t="shared" si="8"/>
        <v>5725</v>
      </c>
      <c r="N20" s="146">
        <f t="shared" si="8"/>
        <v>5725</v>
      </c>
      <c r="O20" s="147">
        <f>'1 bevétel-kiadás'!J31</f>
        <v>211645950</v>
      </c>
    </row>
    <row r="21" spans="1:15" x14ac:dyDescent="0.2">
      <c r="A21" s="1">
        <v>5</v>
      </c>
      <c r="B21" s="148" t="s">
        <v>122</v>
      </c>
      <c r="C21" s="149">
        <f>SUM(C17:C20)</f>
        <v>76539578.895833328</v>
      </c>
      <c r="D21" s="149">
        <f t="shared" ref="D21:N21" si="9">SUM(D17:D20)</f>
        <v>76539578.895833328</v>
      </c>
      <c r="E21" s="149">
        <f t="shared" si="9"/>
        <v>76539578.895833328</v>
      </c>
      <c r="F21" s="149">
        <f t="shared" si="9"/>
        <v>76539578.895833328</v>
      </c>
      <c r="G21" s="149">
        <f t="shared" si="9"/>
        <v>76539578.895833328</v>
      </c>
      <c r="H21" s="149">
        <f t="shared" si="9"/>
        <v>76539578.895833328</v>
      </c>
      <c r="I21" s="149">
        <f t="shared" si="9"/>
        <v>76539578.895833328</v>
      </c>
      <c r="J21" s="149">
        <f t="shared" si="9"/>
        <v>76539578.895833328</v>
      </c>
      <c r="K21" s="149">
        <f t="shared" si="9"/>
        <v>76539578.895833328</v>
      </c>
      <c r="L21" s="149">
        <f t="shared" si="9"/>
        <v>76539578.895833328</v>
      </c>
      <c r="M21" s="149">
        <f t="shared" si="9"/>
        <v>76539578.895833328</v>
      </c>
      <c r="N21" s="149">
        <f t="shared" si="9"/>
        <v>76539578.895833328</v>
      </c>
      <c r="O21" s="149">
        <f>SUM(O17:O20)</f>
        <v>1549762815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23"/>
  <sheetViews>
    <sheetView view="pageBreakPreview" zoomScale="65" zoomScaleNormal="60" zoomScaleSheetLayoutView="65" workbookViewId="0">
      <pane ySplit="7" topLeftCell="A8" activePane="bottomLeft" state="frozen"/>
      <selection pane="bottomLeft" activeCell="D52" sqref="D52"/>
    </sheetView>
  </sheetViews>
  <sheetFormatPr defaultColWidth="9.140625" defaultRowHeight="12.75" x14ac:dyDescent="0.2"/>
  <cols>
    <col min="1" max="1" width="4.85546875" style="74" customWidth="1"/>
    <col min="2" max="2" width="55" style="18" customWidth="1"/>
    <col min="3" max="4" width="19.42578125" style="172" customWidth="1"/>
    <col min="5" max="6" width="19.28515625" style="172" customWidth="1"/>
    <col min="7" max="10" width="18.5703125" style="172" customWidth="1"/>
    <col min="11" max="11" width="21.42578125" style="172" customWidth="1"/>
    <col min="12" max="12" width="22.28515625" style="172" customWidth="1"/>
    <col min="13" max="13" width="20.85546875" style="172" customWidth="1"/>
    <col min="14" max="14" width="18.5703125" style="172" customWidth="1"/>
    <col min="15" max="15" width="20.42578125" style="172" customWidth="1"/>
    <col min="16" max="16" width="17.42578125" style="172" customWidth="1"/>
    <col min="17" max="24" width="9.140625" style="1" customWidth="1"/>
    <col min="25" max="16384" width="9.140625" style="1"/>
  </cols>
  <sheetData>
    <row r="2" spans="1:16" ht="27" x14ac:dyDescent="0.35">
      <c r="B2" s="19"/>
      <c r="C2" s="198" t="s">
        <v>297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27.75" x14ac:dyDescent="0.4">
      <c r="B3" s="179" t="s">
        <v>252</v>
      </c>
    </row>
    <row r="4" spans="1:16" ht="27" x14ac:dyDescent="0.35">
      <c r="B4" s="19"/>
    </row>
    <row r="5" spans="1:16" ht="20.25" x14ac:dyDescent="0.3">
      <c r="B5" s="20" t="s">
        <v>172</v>
      </c>
    </row>
    <row r="6" spans="1:16" ht="20.25" x14ac:dyDescent="0.3">
      <c r="B6" s="20"/>
      <c r="O6" s="172" t="s">
        <v>75</v>
      </c>
    </row>
    <row r="7" spans="1:16" ht="85.5" customHeight="1" x14ac:dyDescent="0.2">
      <c r="B7" s="4" t="s">
        <v>0</v>
      </c>
      <c r="C7" s="23" t="s">
        <v>1</v>
      </c>
      <c r="D7" s="23" t="s">
        <v>59</v>
      </c>
      <c r="E7" s="23" t="s">
        <v>58</v>
      </c>
      <c r="F7" s="23" t="s">
        <v>60</v>
      </c>
      <c r="G7" s="23" t="s">
        <v>2</v>
      </c>
      <c r="H7" s="23" t="s">
        <v>61</v>
      </c>
      <c r="I7" s="23" t="s">
        <v>65</v>
      </c>
      <c r="J7" s="23" t="s">
        <v>62</v>
      </c>
      <c r="K7" s="24" t="s">
        <v>3</v>
      </c>
      <c r="L7" s="24" t="s">
        <v>4</v>
      </c>
      <c r="M7" s="24" t="s">
        <v>63</v>
      </c>
      <c r="N7" s="24" t="s">
        <v>64</v>
      </c>
      <c r="O7" s="24" t="s">
        <v>66</v>
      </c>
      <c r="P7" s="24" t="s">
        <v>67</v>
      </c>
    </row>
    <row r="8" spans="1:16" ht="15" x14ac:dyDescent="0.2">
      <c r="B8" s="4" t="s">
        <v>5</v>
      </c>
      <c r="C8" s="23" t="s">
        <v>6</v>
      </c>
      <c r="D8" s="24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4" t="s">
        <v>14</v>
      </c>
      <c r="L8" s="24" t="s">
        <v>15</v>
      </c>
      <c r="M8" s="24" t="s">
        <v>16</v>
      </c>
      <c r="N8" s="24" t="s">
        <v>17</v>
      </c>
      <c r="O8" s="24" t="s">
        <v>69</v>
      </c>
      <c r="P8" s="24" t="s">
        <v>70</v>
      </c>
    </row>
    <row r="9" spans="1:16" ht="91.5" customHeight="1" x14ac:dyDescent="0.2">
      <c r="A9" s="74">
        <v>1</v>
      </c>
      <c r="B9" s="5" t="s">
        <v>193</v>
      </c>
      <c r="C9" s="25">
        <v>40926240</v>
      </c>
      <c r="D9" s="25">
        <v>80633015</v>
      </c>
      <c r="E9" s="25">
        <v>1001100</v>
      </c>
      <c r="F9" s="25">
        <v>864203</v>
      </c>
      <c r="G9" s="25">
        <v>288033000</v>
      </c>
      <c r="H9" s="25">
        <v>339659797</v>
      </c>
      <c r="I9" s="25">
        <v>40527078</v>
      </c>
      <c r="J9" s="25">
        <v>51924594</v>
      </c>
      <c r="K9" s="25">
        <f>C9+E9+G9+I9</f>
        <v>370487418</v>
      </c>
      <c r="L9" s="25">
        <f>D9+F9+H9+J9</f>
        <v>473081609</v>
      </c>
      <c r="M9" s="25">
        <f>C9+E9+G9+I9</f>
        <v>370487418</v>
      </c>
      <c r="N9" s="25">
        <v>0</v>
      </c>
      <c r="O9" s="25">
        <f>D9+F9+H9+J9</f>
        <v>473081609</v>
      </c>
      <c r="P9" s="25">
        <v>0</v>
      </c>
    </row>
    <row r="10" spans="1:16" ht="43.5" x14ac:dyDescent="0.2">
      <c r="A10" s="74">
        <v>2</v>
      </c>
      <c r="B10" s="5" t="s">
        <v>194</v>
      </c>
      <c r="C10" s="25">
        <f t="shared" ref="C10:J10" si="0">SUM(C11:C14)</f>
        <v>282000000</v>
      </c>
      <c r="D10" s="25">
        <f t="shared" ref="D10" si="1">SUM(D11:D14)</f>
        <v>374993631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ref="K10:L34" si="2">C10+E10+G10+I10</f>
        <v>282000000</v>
      </c>
      <c r="L10" s="25">
        <f t="shared" si="2"/>
        <v>374993631</v>
      </c>
      <c r="M10" s="25">
        <f t="shared" ref="M10:M34" si="3">C10+E10+G10+I10</f>
        <v>282000000</v>
      </c>
      <c r="N10" s="25">
        <v>0</v>
      </c>
      <c r="O10" s="25">
        <f t="shared" ref="O10:O34" si="4">D10+F10+H10+J10</f>
        <v>374993631</v>
      </c>
      <c r="P10" s="25">
        <v>0</v>
      </c>
    </row>
    <row r="11" spans="1:16" ht="15" x14ac:dyDescent="0.2">
      <c r="A11" s="74">
        <v>3</v>
      </c>
      <c r="B11" s="6" t="s">
        <v>18</v>
      </c>
      <c r="C11" s="26">
        <v>279000000</v>
      </c>
      <c r="D11" s="26">
        <f>374993631-D13</f>
        <v>365543156</v>
      </c>
      <c r="E11" s="26"/>
      <c r="F11" s="26"/>
      <c r="G11" s="26"/>
      <c r="H11" s="26"/>
      <c r="I11" s="26"/>
      <c r="J11" s="26"/>
      <c r="K11" s="25">
        <f t="shared" si="2"/>
        <v>279000000</v>
      </c>
      <c r="L11" s="25">
        <f t="shared" si="2"/>
        <v>365543156</v>
      </c>
      <c r="M11" s="25">
        <f t="shared" si="3"/>
        <v>279000000</v>
      </c>
      <c r="N11" s="25">
        <v>0</v>
      </c>
      <c r="O11" s="25">
        <f t="shared" si="4"/>
        <v>365543156</v>
      </c>
      <c r="P11" s="25">
        <v>0</v>
      </c>
    </row>
    <row r="12" spans="1:16" ht="15" x14ac:dyDescent="0.2">
      <c r="A12" s="74">
        <v>4</v>
      </c>
      <c r="B12" s="6" t="s">
        <v>19</v>
      </c>
      <c r="C12" s="26"/>
      <c r="D12" s="26"/>
      <c r="E12" s="26"/>
      <c r="F12" s="26"/>
      <c r="G12" s="26"/>
      <c r="H12" s="26"/>
      <c r="I12" s="26"/>
      <c r="J12" s="26"/>
      <c r="K12" s="25">
        <f t="shared" si="2"/>
        <v>0</v>
      </c>
      <c r="L12" s="25">
        <f t="shared" si="2"/>
        <v>0</v>
      </c>
      <c r="M12" s="25">
        <f t="shared" si="3"/>
        <v>0</v>
      </c>
      <c r="N12" s="25">
        <v>0</v>
      </c>
      <c r="O12" s="25">
        <f t="shared" si="4"/>
        <v>0</v>
      </c>
      <c r="P12" s="25">
        <v>0</v>
      </c>
    </row>
    <row r="13" spans="1:16" ht="15" x14ac:dyDescent="0.2">
      <c r="A13" s="74">
        <v>5</v>
      </c>
      <c r="B13" s="6" t="s">
        <v>20</v>
      </c>
      <c r="C13" s="26">
        <v>3000000</v>
      </c>
      <c r="D13" s="26">
        <v>9450475</v>
      </c>
      <c r="E13" s="26"/>
      <c r="F13" s="26"/>
      <c r="G13" s="26"/>
      <c r="H13" s="26"/>
      <c r="I13" s="26"/>
      <c r="J13" s="26"/>
      <c r="K13" s="25">
        <f t="shared" si="2"/>
        <v>3000000</v>
      </c>
      <c r="L13" s="25">
        <f t="shared" si="2"/>
        <v>9450475</v>
      </c>
      <c r="M13" s="25">
        <f t="shared" si="3"/>
        <v>3000000</v>
      </c>
      <c r="N13" s="25">
        <v>0</v>
      </c>
      <c r="O13" s="25">
        <f t="shared" si="4"/>
        <v>9450475</v>
      </c>
      <c r="P13" s="25">
        <v>0</v>
      </c>
    </row>
    <row r="14" spans="1:16" ht="15" x14ac:dyDescent="0.2">
      <c r="A14" s="74">
        <v>6</v>
      </c>
      <c r="B14" s="6" t="s">
        <v>68</v>
      </c>
      <c r="C14" s="26"/>
      <c r="D14" s="26">
        <v>0</v>
      </c>
      <c r="E14" s="26"/>
      <c r="F14" s="26"/>
      <c r="G14" s="26"/>
      <c r="H14" s="26"/>
      <c r="I14" s="26"/>
      <c r="J14" s="26"/>
      <c r="K14" s="25">
        <f t="shared" si="2"/>
        <v>0</v>
      </c>
      <c r="L14" s="25">
        <f t="shared" si="2"/>
        <v>0</v>
      </c>
      <c r="M14" s="25">
        <f t="shared" si="3"/>
        <v>0</v>
      </c>
      <c r="N14" s="25">
        <v>0</v>
      </c>
      <c r="O14" s="25">
        <f t="shared" si="4"/>
        <v>0</v>
      </c>
      <c r="P14" s="25">
        <v>0</v>
      </c>
    </row>
    <row r="15" spans="1:16" ht="30" x14ac:dyDescent="0.25">
      <c r="A15" s="74">
        <v>7</v>
      </c>
      <c r="B15" s="7" t="s">
        <v>21</v>
      </c>
      <c r="C15" s="27">
        <v>0</v>
      </c>
      <c r="D15" s="27">
        <v>0</v>
      </c>
      <c r="E15" s="28">
        <v>100362364</v>
      </c>
      <c r="F15" s="28">
        <v>107409745</v>
      </c>
      <c r="G15" s="28">
        <v>27631888</v>
      </c>
      <c r="H15" s="28">
        <v>41361800</v>
      </c>
      <c r="I15" s="28">
        <v>154529549</v>
      </c>
      <c r="J15" s="28">
        <v>151311726</v>
      </c>
      <c r="K15" s="29">
        <f t="shared" si="2"/>
        <v>282523801</v>
      </c>
      <c r="L15" s="29">
        <f t="shared" si="2"/>
        <v>300083271</v>
      </c>
      <c r="M15" s="29">
        <f t="shared" si="3"/>
        <v>282523801</v>
      </c>
      <c r="N15" s="29">
        <v>0</v>
      </c>
      <c r="O15" s="29">
        <f t="shared" si="4"/>
        <v>300083271</v>
      </c>
      <c r="P15" s="29">
        <v>0</v>
      </c>
    </row>
    <row r="16" spans="1:16" ht="15" x14ac:dyDescent="0.25">
      <c r="A16" s="74">
        <v>8</v>
      </c>
      <c r="B16" s="5" t="s">
        <v>195</v>
      </c>
      <c r="C16" s="34">
        <v>218754023</v>
      </c>
      <c r="D16" s="34">
        <f>304568276-D17</f>
        <v>276311693</v>
      </c>
      <c r="E16" s="25"/>
      <c r="F16" s="25"/>
      <c r="G16" s="25"/>
      <c r="H16" s="25"/>
      <c r="I16" s="25"/>
      <c r="J16" s="25"/>
      <c r="K16" s="25">
        <f t="shared" si="2"/>
        <v>218754023</v>
      </c>
      <c r="L16" s="25">
        <f t="shared" si="2"/>
        <v>276311693</v>
      </c>
      <c r="M16" s="25">
        <f t="shared" si="3"/>
        <v>218754023</v>
      </c>
      <c r="N16" s="25">
        <v>0</v>
      </c>
      <c r="O16" s="25">
        <f t="shared" si="4"/>
        <v>276311693</v>
      </c>
      <c r="P16" s="25">
        <v>0</v>
      </c>
    </row>
    <row r="17" spans="1:16" ht="30" x14ac:dyDescent="0.25">
      <c r="A17" s="74">
        <v>9</v>
      </c>
      <c r="B17" s="5" t="s">
        <v>196</v>
      </c>
      <c r="C17" s="25">
        <v>24520000</v>
      </c>
      <c r="D17" s="25">
        <f>5784700+1000000+17524655+3447228+500000</f>
        <v>28256583</v>
      </c>
      <c r="E17" s="25"/>
      <c r="F17" s="25">
        <f>E17</f>
        <v>0</v>
      </c>
      <c r="G17" s="25">
        <v>1482480</v>
      </c>
      <c r="H17" s="25">
        <v>353580</v>
      </c>
      <c r="I17" s="25"/>
      <c r="J17" s="25"/>
      <c r="K17" s="25">
        <f t="shared" si="2"/>
        <v>26002480</v>
      </c>
      <c r="L17" s="25">
        <f t="shared" si="2"/>
        <v>28610163</v>
      </c>
      <c r="M17" s="25">
        <f t="shared" si="3"/>
        <v>26002480</v>
      </c>
      <c r="N17" s="25">
        <v>0</v>
      </c>
      <c r="O17" s="25">
        <f t="shared" si="4"/>
        <v>28610163</v>
      </c>
      <c r="P17" s="25">
        <v>0</v>
      </c>
    </row>
    <row r="18" spans="1:16" ht="15" x14ac:dyDescent="0.25">
      <c r="A18" s="74">
        <v>10</v>
      </c>
      <c r="B18" s="5" t="s">
        <v>197</v>
      </c>
      <c r="C18" s="25"/>
      <c r="D18" s="25">
        <v>2641095</v>
      </c>
      <c r="E18" s="25"/>
      <c r="F18" s="25"/>
      <c r="G18" s="25"/>
      <c r="H18" s="25"/>
      <c r="I18" s="25"/>
      <c r="J18" s="25"/>
      <c r="K18" s="25">
        <f t="shared" si="2"/>
        <v>0</v>
      </c>
      <c r="L18" s="25">
        <f t="shared" si="2"/>
        <v>2641095</v>
      </c>
      <c r="M18" s="25">
        <f t="shared" si="3"/>
        <v>0</v>
      </c>
      <c r="N18" s="25">
        <v>0</v>
      </c>
      <c r="O18" s="25">
        <f t="shared" si="4"/>
        <v>2641095</v>
      </c>
      <c r="P18" s="25">
        <v>0</v>
      </c>
    </row>
    <row r="19" spans="1:16" ht="30" x14ac:dyDescent="0.25">
      <c r="A19" s="74">
        <v>11</v>
      </c>
      <c r="B19" s="5" t="s">
        <v>25</v>
      </c>
      <c r="C19" s="25"/>
      <c r="D19" s="25"/>
      <c r="E19" s="25"/>
      <c r="F19" s="25"/>
      <c r="G19" s="25"/>
      <c r="H19" s="25"/>
      <c r="I19" s="25"/>
      <c r="J19" s="25"/>
      <c r="K19" s="25">
        <f t="shared" si="2"/>
        <v>0</v>
      </c>
      <c r="L19" s="25">
        <f t="shared" si="2"/>
        <v>0</v>
      </c>
      <c r="M19" s="25">
        <f t="shared" si="3"/>
        <v>0</v>
      </c>
      <c r="N19" s="25">
        <v>0</v>
      </c>
      <c r="O19" s="25">
        <f t="shared" si="4"/>
        <v>0</v>
      </c>
      <c r="P19" s="25">
        <v>0</v>
      </c>
    </row>
    <row r="20" spans="1:16" ht="15" x14ac:dyDescent="0.25">
      <c r="A20" s="74">
        <v>12</v>
      </c>
      <c r="B20" s="7" t="s">
        <v>26</v>
      </c>
      <c r="C20" s="29">
        <f>C9+C10+C16+C17+C18+C19</f>
        <v>566200263</v>
      </c>
      <c r="D20" s="29">
        <f>D9+D10+D16+D17+D18+D19</f>
        <v>762836017</v>
      </c>
      <c r="E20" s="29">
        <f t="shared" ref="E20:J20" si="5">E9+E10+E16+E17+E18+E19+E15</f>
        <v>101363464</v>
      </c>
      <c r="F20" s="29">
        <f t="shared" si="5"/>
        <v>108273948</v>
      </c>
      <c r="G20" s="29">
        <f>G9+G10+G16+G17+G18+G19+G15</f>
        <v>317147368</v>
      </c>
      <c r="H20" s="29">
        <f t="shared" si="5"/>
        <v>381375177</v>
      </c>
      <c r="I20" s="29">
        <f t="shared" si="5"/>
        <v>195056627</v>
      </c>
      <c r="J20" s="29">
        <f t="shared" si="5"/>
        <v>203236320</v>
      </c>
      <c r="K20" s="29">
        <f t="shared" si="2"/>
        <v>1179767722</v>
      </c>
      <c r="L20" s="29">
        <f t="shared" si="2"/>
        <v>1455721462</v>
      </c>
      <c r="M20" s="29">
        <f t="shared" si="3"/>
        <v>1179767722</v>
      </c>
      <c r="N20" s="29">
        <v>0</v>
      </c>
      <c r="O20" s="29">
        <f t="shared" si="4"/>
        <v>1455721462</v>
      </c>
      <c r="P20" s="29">
        <v>0</v>
      </c>
    </row>
    <row r="21" spans="1:16" ht="30" x14ac:dyDescent="0.25">
      <c r="A21" s="74">
        <v>13</v>
      </c>
      <c r="B21" s="5" t="s">
        <v>198</v>
      </c>
      <c r="C21" s="27">
        <v>12478000</v>
      </c>
      <c r="D21" s="27">
        <v>32462085</v>
      </c>
      <c r="E21" s="27"/>
      <c r="F21" s="27"/>
      <c r="G21" s="27"/>
      <c r="H21" s="27"/>
      <c r="I21" s="27"/>
      <c r="J21" s="27"/>
      <c r="K21" s="25">
        <f t="shared" si="2"/>
        <v>12478000</v>
      </c>
      <c r="L21" s="25">
        <f t="shared" si="2"/>
        <v>32462085</v>
      </c>
      <c r="M21" s="25">
        <f t="shared" si="3"/>
        <v>12478000</v>
      </c>
      <c r="N21" s="25">
        <v>0</v>
      </c>
      <c r="O21" s="25">
        <f t="shared" si="4"/>
        <v>32462085</v>
      </c>
      <c r="P21" s="25">
        <v>0</v>
      </c>
    </row>
    <row r="22" spans="1:16" ht="30" x14ac:dyDescent="0.25">
      <c r="A22" s="74">
        <v>14</v>
      </c>
      <c r="B22" s="5" t="s">
        <v>199</v>
      </c>
      <c r="C22" s="27">
        <v>6650096</v>
      </c>
      <c r="D22" s="27">
        <v>10303816</v>
      </c>
      <c r="E22" s="27"/>
      <c r="F22" s="27"/>
      <c r="G22" s="27"/>
      <c r="H22" s="27"/>
      <c r="I22" s="27"/>
      <c r="J22" s="27"/>
      <c r="K22" s="25">
        <f t="shared" si="2"/>
        <v>6650096</v>
      </c>
      <c r="L22" s="25">
        <f t="shared" si="2"/>
        <v>10303816</v>
      </c>
      <c r="M22" s="25">
        <f t="shared" si="3"/>
        <v>6650096</v>
      </c>
      <c r="N22" s="25">
        <v>0</v>
      </c>
      <c r="O22" s="25">
        <f t="shared" si="4"/>
        <v>10303816</v>
      </c>
      <c r="P22" s="25">
        <v>0</v>
      </c>
    </row>
    <row r="23" spans="1:16" ht="45" x14ac:dyDescent="0.25">
      <c r="A23" s="74">
        <v>15</v>
      </c>
      <c r="B23" s="5" t="s">
        <v>200</v>
      </c>
      <c r="C23" s="27">
        <v>0</v>
      </c>
      <c r="D23" s="27">
        <v>1480000</v>
      </c>
      <c r="E23" s="27"/>
      <c r="F23" s="27"/>
      <c r="G23" s="27"/>
      <c r="H23" s="27"/>
      <c r="I23" s="27"/>
      <c r="J23" s="27"/>
      <c r="K23" s="25">
        <f t="shared" si="2"/>
        <v>0</v>
      </c>
      <c r="L23" s="25">
        <f t="shared" si="2"/>
        <v>1480000</v>
      </c>
      <c r="M23" s="25">
        <f t="shared" si="3"/>
        <v>0</v>
      </c>
      <c r="N23" s="25">
        <v>0</v>
      </c>
      <c r="O23" s="25">
        <f t="shared" si="4"/>
        <v>1480000</v>
      </c>
      <c r="P23" s="25">
        <v>0</v>
      </c>
    </row>
    <row r="24" spans="1:16" ht="30" x14ac:dyDescent="0.25">
      <c r="A24" s="74">
        <v>16</v>
      </c>
      <c r="B24" s="5" t="s">
        <v>30</v>
      </c>
      <c r="C24" s="25">
        <v>0</v>
      </c>
      <c r="D24" s="25">
        <v>0</v>
      </c>
      <c r="E24" s="25"/>
      <c r="F24" s="25"/>
      <c r="G24" s="25"/>
      <c r="H24" s="25"/>
      <c r="I24" s="25"/>
      <c r="J24" s="25"/>
      <c r="K24" s="25">
        <f t="shared" si="2"/>
        <v>0</v>
      </c>
      <c r="L24" s="25">
        <f t="shared" si="2"/>
        <v>0</v>
      </c>
      <c r="M24" s="25">
        <f t="shared" si="3"/>
        <v>0</v>
      </c>
      <c r="N24" s="25">
        <v>0</v>
      </c>
      <c r="O24" s="25">
        <f t="shared" si="4"/>
        <v>0</v>
      </c>
      <c r="P24" s="25">
        <v>0</v>
      </c>
    </row>
    <row r="25" spans="1:16" ht="30" x14ac:dyDescent="0.25">
      <c r="A25" s="74">
        <v>17</v>
      </c>
      <c r="B25" s="5" t="s">
        <v>31</v>
      </c>
      <c r="C25" s="25">
        <v>0</v>
      </c>
      <c r="D25" s="25">
        <v>0</v>
      </c>
      <c r="E25" s="25"/>
      <c r="F25" s="25"/>
      <c r="G25" s="25"/>
      <c r="H25" s="25"/>
      <c r="I25" s="25"/>
      <c r="J25" s="25"/>
      <c r="K25" s="25">
        <f t="shared" si="2"/>
        <v>0</v>
      </c>
      <c r="L25" s="25">
        <f t="shared" si="2"/>
        <v>0</v>
      </c>
      <c r="M25" s="25">
        <f t="shared" si="3"/>
        <v>0</v>
      </c>
      <c r="N25" s="25">
        <v>0</v>
      </c>
      <c r="O25" s="25">
        <f t="shared" si="4"/>
        <v>0</v>
      </c>
      <c r="P25" s="25">
        <v>0</v>
      </c>
    </row>
    <row r="26" spans="1:16" ht="15" x14ac:dyDescent="0.25">
      <c r="A26" s="74">
        <v>18</v>
      </c>
      <c r="B26" s="7" t="s">
        <v>32</v>
      </c>
      <c r="C26" s="29">
        <f>SUM(C21:C25)</f>
        <v>19128096</v>
      </c>
      <c r="D26" s="29">
        <f t="shared" ref="D26:I26" si="6">SUM(D21:D25)</f>
        <v>44245901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>SUM(J21:J25)</f>
        <v>0</v>
      </c>
      <c r="K26" s="29">
        <f t="shared" si="2"/>
        <v>19128096</v>
      </c>
      <c r="L26" s="29">
        <f t="shared" si="2"/>
        <v>44245901</v>
      </c>
      <c r="M26" s="29">
        <f t="shared" si="3"/>
        <v>19128096</v>
      </c>
      <c r="N26" s="29">
        <v>0</v>
      </c>
      <c r="O26" s="29">
        <f t="shared" si="4"/>
        <v>44245901</v>
      </c>
      <c r="P26" s="29">
        <v>0</v>
      </c>
    </row>
    <row r="27" spans="1:16" ht="15" x14ac:dyDescent="0.25">
      <c r="A27" s="74">
        <v>19</v>
      </c>
      <c r="B27" s="5" t="s">
        <v>33</v>
      </c>
      <c r="C27" s="25">
        <f>C26+C20-E15-G15-I15</f>
        <v>302804558</v>
      </c>
      <c r="D27" s="25">
        <f>D26+D20-F15-H15-J15</f>
        <v>506998647</v>
      </c>
      <c r="E27" s="25">
        <f t="shared" ref="E27:J27" si="7">E26+E20</f>
        <v>101363464</v>
      </c>
      <c r="F27" s="25">
        <f t="shared" si="7"/>
        <v>108273948</v>
      </c>
      <c r="G27" s="25">
        <f t="shared" si="7"/>
        <v>317147368</v>
      </c>
      <c r="H27" s="25">
        <f t="shared" si="7"/>
        <v>381375177</v>
      </c>
      <c r="I27" s="25">
        <f t="shared" si="7"/>
        <v>195056627</v>
      </c>
      <c r="J27" s="25">
        <f t="shared" si="7"/>
        <v>203236320</v>
      </c>
      <c r="K27" s="25">
        <f t="shared" si="2"/>
        <v>916372017</v>
      </c>
      <c r="L27" s="25">
        <f t="shared" si="2"/>
        <v>1199884092</v>
      </c>
      <c r="M27" s="25">
        <f t="shared" si="3"/>
        <v>916372017</v>
      </c>
      <c r="N27" s="25">
        <v>0</v>
      </c>
      <c r="O27" s="25">
        <f t="shared" si="4"/>
        <v>1199884092</v>
      </c>
      <c r="P27" s="25">
        <v>0</v>
      </c>
    </row>
    <row r="28" spans="1:16" ht="15" x14ac:dyDescent="0.25">
      <c r="A28" s="74">
        <v>20</v>
      </c>
      <c r="B28" s="5" t="s">
        <v>238</v>
      </c>
      <c r="C28" s="25">
        <v>53400000</v>
      </c>
      <c r="D28" s="25">
        <v>78221662</v>
      </c>
      <c r="E28" s="25"/>
      <c r="F28" s="25"/>
      <c r="G28" s="25"/>
      <c r="H28" s="25"/>
      <c r="I28" s="25"/>
      <c r="J28" s="25"/>
      <c r="K28" s="25">
        <f>C28</f>
        <v>53400000</v>
      </c>
      <c r="L28" s="25">
        <f>D28</f>
        <v>78221662</v>
      </c>
      <c r="M28" s="25">
        <f>C28</f>
        <v>53400000</v>
      </c>
      <c r="N28" s="25"/>
      <c r="O28" s="25">
        <f>D28</f>
        <v>78221662</v>
      </c>
      <c r="P28" s="25"/>
    </row>
    <row r="29" spans="1:16" ht="45" x14ac:dyDescent="0.2">
      <c r="A29" s="74">
        <v>21</v>
      </c>
      <c r="B29" s="8" t="s">
        <v>201</v>
      </c>
      <c r="C29" s="25">
        <v>225244857</v>
      </c>
      <c r="D29" s="25">
        <v>223863610</v>
      </c>
      <c r="E29" s="25">
        <v>10728936</v>
      </c>
      <c r="F29" s="25">
        <f>E29</f>
        <v>10728936</v>
      </c>
      <c r="G29" s="25">
        <v>19750881</v>
      </c>
      <c r="H29" s="25">
        <v>19750883</v>
      </c>
      <c r="I29" s="25">
        <v>8409630</v>
      </c>
      <c r="J29" s="25">
        <f>I29</f>
        <v>8409630</v>
      </c>
      <c r="K29" s="25">
        <f t="shared" si="2"/>
        <v>264134304</v>
      </c>
      <c r="L29" s="25">
        <f t="shared" si="2"/>
        <v>262753059</v>
      </c>
      <c r="M29" s="25">
        <f t="shared" si="3"/>
        <v>264134304</v>
      </c>
      <c r="N29" s="25">
        <v>0</v>
      </c>
      <c r="O29" s="25">
        <f t="shared" si="4"/>
        <v>262753059</v>
      </c>
      <c r="P29" s="25">
        <v>0</v>
      </c>
    </row>
    <row r="30" spans="1:16" ht="30" x14ac:dyDescent="0.2">
      <c r="A30" s="74">
        <v>22</v>
      </c>
      <c r="B30" s="8" t="s">
        <v>202</v>
      </c>
      <c r="C30" s="30"/>
      <c r="D30" s="30">
        <v>8904002</v>
      </c>
      <c r="E30" s="25"/>
      <c r="F30" s="25"/>
      <c r="G30" s="30"/>
      <c r="H30" s="30"/>
      <c r="I30" s="30"/>
      <c r="J30" s="30"/>
      <c r="K30" s="25">
        <f t="shared" si="2"/>
        <v>0</v>
      </c>
      <c r="L30" s="25">
        <f t="shared" si="2"/>
        <v>8904002</v>
      </c>
      <c r="M30" s="25">
        <f t="shared" si="3"/>
        <v>0</v>
      </c>
      <c r="N30" s="25">
        <v>0</v>
      </c>
      <c r="O30" s="25">
        <f t="shared" si="4"/>
        <v>8904002</v>
      </c>
      <c r="P30" s="25">
        <v>0</v>
      </c>
    </row>
    <row r="31" spans="1:16" ht="15" x14ac:dyDescent="0.2">
      <c r="A31" s="74">
        <v>23</v>
      </c>
      <c r="B31" s="21" t="s">
        <v>36</v>
      </c>
      <c r="C31" s="31">
        <f t="shared" ref="C31:I31" si="8">SUM(C27:C30)</f>
        <v>581449415</v>
      </c>
      <c r="D31" s="31">
        <f t="shared" si="8"/>
        <v>817987921</v>
      </c>
      <c r="E31" s="31">
        <f t="shared" si="8"/>
        <v>112092400</v>
      </c>
      <c r="F31" s="31">
        <f t="shared" si="8"/>
        <v>119002884</v>
      </c>
      <c r="G31" s="31">
        <f t="shared" si="8"/>
        <v>336898249</v>
      </c>
      <c r="H31" s="31">
        <f t="shared" si="8"/>
        <v>401126060</v>
      </c>
      <c r="I31" s="31">
        <f t="shared" si="8"/>
        <v>203466257</v>
      </c>
      <c r="J31" s="31">
        <f>SUM(J27:J30)</f>
        <v>211645950</v>
      </c>
      <c r="K31" s="32">
        <f t="shared" si="2"/>
        <v>1233906321</v>
      </c>
      <c r="L31" s="32">
        <f>D31+F31+H31+J31</f>
        <v>1549762815</v>
      </c>
      <c r="M31" s="34">
        <f t="shared" si="3"/>
        <v>1233906321</v>
      </c>
      <c r="N31" s="34">
        <v>0</v>
      </c>
      <c r="O31" s="35">
        <f t="shared" si="4"/>
        <v>1549762815</v>
      </c>
      <c r="P31" s="35">
        <v>0</v>
      </c>
    </row>
    <row r="32" spans="1:16" ht="15" x14ac:dyDescent="0.2">
      <c r="A32" s="74">
        <v>24</v>
      </c>
      <c r="B32" s="8"/>
      <c r="C32" s="30"/>
      <c r="D32" s="30"/>
      <c r="E32" s="30"/>
      <c r="F32" s="30"/>
      <c r="G32" s="30"/>
      <c r="H32" s="30"/>
      <c r="I32" s="30"/>
      <c r="J32" s="30"/>
      <c r="K32" s="25">
        <f t="shared" si="2"/>
        <v>0</v>
      </c>
      <c r="L32" s="25">
        <f t="shared" si="2"/>
        <v>0</v>
      </c>
      <c r="M32" s="25">
        <f t="shared" si="3"/>
        <v>0</v>
      </c>
      <c r="N32" s="25">
        <v>0</v>
      </c>
      <c r="O32" s="25">
        <f t="shared" si="4"/>
        <v>0</v>
      </c>
      <c r="P32" s="25">
        <v>0</v>
      </c>
    </row>
    <row r="33" spans="1:16" s="10" customFormat="1" ht="28.5" x14ac:dyDescent="0.2">
      <c r="A33" s="74">
        <v>25</v>
      </c>
      <c r="B33" s="6" t="s">
        <v>37</v>
      </c>
      <c r="C33" s="186">
        <f t="shared" ref="C33:J33" si="9">C31-C65</f>
        <v>0.25</v>
      </c>
      <c r="D33" s="186">
        <f t="shared" si="9"/>
        <v>0</v>
      </c>
      <c r="E33" s="186">
        <f t="shared" si="9"/>
        <v>0</v>
      </c>
      <c r="F33" s="186">
        <f t="shared" si="9"/>
        <v>0</v>
      </c>
      <c r="G33" s="186">
        <f t="shared" si="9"/>
        <v>0</v>
      </c>
      <c r="H33" s="186">
        <f t="shared" si="9"/>
        <v>0</v>
      </c>
      <c r="I33" s="186">
        <f t="shared" si="9"/>
        <v>0</v>
      </c>
      <c r="J33" s="186">
        <f t="shared" si="9"/>
        <v>0</v>
      </c>
      <c r="K33" s="187">
        <f t="shared" si="2"/>
        <v>0.25</v>
      </c>
      <c r="L33" s="187">
        <f t="shared" si="2"/>
        <v>0</v>
      </c>
      <c r="M33" s="187">
        <f t="shared" si="3"/>
        <v>0.25</v>
      </c>
      <c r="N33" s="187">
        <v>0</v>
      </c>
      <c r="O33" s="187">
        <f t="shared" si="4"/>
        <v>0</v>
      </c>
      <c r="P33" s="187">
        <v>0</v>
      </c>
    </row>
    <row r="34" spans="1:16" s="10" customFormat="1" ht="28.5" x14ac:dyDescent="0.2">
      <c r="A34" s="74">
        <v>26</v>
      </c>
      <c r="B34" s="6" t="s">
        <v>38</v>
      </c>
      <c r="C34" s="186">
        <f t="shared" ref="C34:J34" si="10">C31-C65</f>
        <v>0.25</v>
      </c>
      <c r="D34" s="186">
        <f t="shared" si="10"/>
        <v>0</v>
      </c>
      <c r="E34" s="186">
        <f t="shared" si="10"/>
        <v>0</v>
      </c>
      <c r="F34" s="186">
        <f t="shared" si="10"/>
        <v>0</v>
      </c>
      <c r="G34" s="186">
        <f t="shared" si="10"/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7">
        <f t="shared" si="2"/>
        <v>0.25</v>
      </c>
      <c r="L34" s="187">
        <f t="shared" si="2"/>
        <v>0</v>
      </c>
      <c r="M34" s="187">
        <f t="shared" si="3"/>
        <v>0.25</v>
      </c>
      <c r="N34" s="187">
        <v>0</v>
      </c>
      <c r="O34" s="187">
        <f t="shared" si="4"/>
        <v>0</v>
      </c>
      <c r="P34" s="187">
        <v>0</v>
      </c>
    </row>
    <row r="35" spans="1:16" s="10" customFormat="1" ht="20.25" x14ac:dyDescent="0.3">
      <c r="A35" s="74"/>
      <c r="B35" s="20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s="10" customFormat="1" ht="20.25" x14ac:dyDescent="0.3">
      <c r="A36" s="74"/>
      <c r="B36" s="20" t="s">
        <v>173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s="10" customFormat="1" ht="20.25" x14ac:dyDescent="0.3">
      <c r="A37" s="74"/>
      <c r="B37" s="20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10" customFormat="1" ht="80.25" customHeight="1" x14ac:dyDescent="0.2">
      <c r="A38" s="74"/>
      <c r="B38" s="4" t="s">
        <v>0</v>
      </c>
      <c r="C38" s="23" t="s">
        <v>1</v>
      </c>
      <c r="D38" s="23" t="s">
        <v>59</v>
      </c>
      <c r="E38" s="23" t="s">
        <v>58</v>
      </c>
      <c r="F38" s="23" t="s">
        <v>60</v>
      </c>
      <c r="G38" s="23" t="s">
        <v>2</v>
      </c>
      <c r="H38" s="23" t="s">
        <v>61</v>
      </c>
      <c r="I38" s="23" t="s">
        <v>65</v>
      </c>
      <c r="J38" s="23" t="s">
        <v>62</v>
      </c>
      <c r="K38" s="24" t="s">
        <v>3</v>
      </c>
      <c r="L38" s="24" t="s">
        <v>4</v>
      </c>
      <c r="M38" s="24" t="s">
        <v>63</v>
      </c>
      <c r="N38" s="24" t="s">
        <v>64</v>
      </c>
      <c r="O38" s="24" t="s">
        <v>66</v>
      </c>
      <c r="P38" s="24" t="s">
        <v>67</v>
      </c>
    </row>
    <row r="39" spans="1:16" s="10" customFormat="1" ht="15" x14ac:dyDescent="0.2">
      <c r="A39" s="74"/>
      <c r="B39" s="4" t="s">
        <v>5</v>
      </c>
      <c r="C39" s="23" t="s">
        <v>6</v>
      </c>
      <c r="D39" s="24" t="s">
        <v>7</v>
      </c>
      <c r="E39" s="23" t="s">
        <v>8</v>
      </c>
      <c r="F39" s="23" t="s">
        <v>9</v>
      </c>
      <c r="G39" s="23" t="s">
        <v>10</v>
      </c>
      <c r="H39" s="23" t="s">
        <v>11</v>
      </c>
      <c r="I39" s="23" t="s">
        <v>12</v>
      </c>
      <c r="J39" s="23" t="s">
        <v>13</v>
      </c>
      <c r="K39" s="24" t="s">
        <v>14</v>
      </c>
      <c r="L39" s="24" t="s">
        <v>15</v>
      </c>
      <c r="M39" s="24" t="s">
        <v>16</v>
      </c>
      <c r="N39" s="24" t="s">
        <v>17</v>
      </c>
      <c r="O39" s="24" t="s">
        <v>69</v>
      </c>
      <c r="P39" s="24" t="s">
        <v>70</v>
      </c>
    </row>
    <row r="40" spans="1:16" s="10" customFormat="1" ht="15" x14ac:dyDescent="0.25">
      <c r="A40" s="74">
        <v>1</v>
      </c>
      <c r="B40" s="11" t="s">
        <v>203</v>
      </c>
      <c r="C40" s="25">
        <v>65890800</v>
      </c>
      <c r="D40" s="25">
        <v>69615694</v>
      </c>
      <c r="E40" s="25">
        <v>97080000</v>
      </c>
      <c r="F40" s="25">
        <v>96601051</v>
      </c>
      <c r="G40" s="25">
        <v>123940400</v>
      </c>
      <c r="H40" s="25">
        <v>129825742</v>
      </c>
      <c r="I40" s="25">
        <v>119523750</v>
      </c>
      <c r="J40" s="25">
        <v>107848584</v>
      </c>
      <c r="K40" s="25">
        <f>C40+E40+G40+I40</f>
        <v>406434950</v>
      </c>
      <c r="L40" s="25">
        <f>D40+F40+H40+J40</f>
        <v>403891071</v>
      </c>
      <c r="M40" s="25">
        <f>C40+E40+G40+I40</f>
        <v>406434950</v>
      </c>
      <c r="N40" s="25">
        <v>0</v>
      </c>
      <c r="O40" s="25">
        <f>D40+F40+H40+J40</f>
        <v>403891071</v>
      </c>
      <c r="P40" s="25">
        <v>0</v>
      </c>
    </row>
    <row r="41" spans="1:16" s="10" customFormat="1" ht="30" x14ac:dyDescent="0.25">
      <c r="A41" s="74">
        <v>2</v>
      </c>
      <c r="B41" s="11" t="s">
        <v>204</v>
      </c>
      <c r="C41" s="25">
        <v>10345804</v>
      </c>
      <c r="D41" s="25">
        <v>9367007</v>
      </c>
      <c r="E41" s="25">
        <v>13211400</v>
      </c>
      <c r="F41" s="25">
        <v>13023716</v>
      </c>
      <c r="G41" s="25">
        <v>16908772</v>
      </c>
      <c r="H41" s="25">
        <v>14166258</v>
      </c>
      <c r="I41" s="25">
        <v>15475080</v>
      </c>
      <c r="J41" s="25">
        <v>14603802</v>
      </c>
      <c r="K41" s="25">
        <f>C41+E41+G41+I41</f>
        <v>55941056</v>
      </c>
      <c r="L41" s="25">
        <f t="shared" ref="L41:L64" si="11">D41+F41+H41+J41</f>
        <v>51160783</v>
      </c>
      <c r="M41" s="25">
        <f>C41+E41+G41+I41</f>
        <v>55941056</v>
      </c>
      <c r="N41" s="25">
        <v>0</v>
      </c>
      <c r="O41" s="25">
        <f t="shared" ref="O41:O53" si="12">D41+F41+H41+J41</f>
        <v>51160783</v>
      </c>
      <c r="P41" s="25">
        <v>0</v>
      </c>
    </row>
    <row r="42" spans="1:16" s="10" customFormat="1" ht="15" x14ac:dyDescent="0.25">
      <c r="A42" s="74">
        <v>3</v>
      </c>
      <c r="B42" s="11" t="s">
        <v>205</v>
      </c>
      <c r="C42" s="25">
        <v>116415525</v>
      </c>
      <c r="D42" s="25">
        <v>146583428</v>
      </c>
      <c r="E42" s="25">
        <v>1801000</v>
      </c>
      <c r="F42" s="25">
        <v>9378117</v>
      </c>
      <c r="G42" s="25">
        <v>194779077</v>
      </c>
      <c r="H42" s="25">
        <v>245622272</v>
      </c>
      <c r="I42" s="25">
        <v>67163427</v>
      </c>
      <c r="J42" s="25">
        <v>84543162</v>
      </c>
      <c r="K42" s="25">
        <f>C42+E42+G42+I42</f>
        <v>380159029</v>
      </c>
      <c r="L42" s="25">
        <f t="shared" si="11"/>
        <v>486126979</v>
      </c>
      <c r="M42" s="25">
        <f>C42+E42+G42+I42</f>
        <v>380159029</v>
      </c>
      <c r="N42" s="25"/>
      <c r="O42" s="25">
        <f t="shared" si="12"/>
        <v>486126979</v>
      </c>
      <c r="P42" s="25">
        <v>0</v>
      </c>
    </row>
    <row r="43" spans="1:16" s="10" customFormat="1" ht="30" x14ac:dyDescent="0.25">
      <c r="A43" s="74">
        <v>4</v>
      </c>
      <c r="B43" s="12" t="s">
        <v>237</v>
      </c>
      <c r="C43" s="29">
        <f>E15+G15+I15</f>
        <v>282523801</v>
      </c>
      <c r="D43" s="29">
        <f>F15+H15+J15</f>
        <v>300083271</v>
      </c>
      <c r="E43" s="25"/>
      <c r="F43" s="25"/>
      <c r="G43" s="25"/>
      <c r="H43" s="25"/>
      <c r="I43" s="25"/>
      <c r="J43" s="25"/>
      <c r="K43" s="25">
        <f t="shared" ref="K43:K64" si="13">C43+E43+G43+I43</f>
        <v>282523801</v>
      </c>
      <c r="L43" s="25">
        <f t="shared" si="11"/>
        <v>300083271</v>
      </c>
      <c r="M43" s="25">
        <f>C43+E43+G43+I43</f>
        <v>282523801</v>
      </c>
      <c r="N43" s="25">
        <v>0</v>
      </c>
      <c r="O43" s="25">
        <f t="shared" si="12"/>
        <v>300083271</v>
      </c>
      <c r="P43" s="25">
        <v>0</v>
      </c>
    </row>
    <row r="44" spans="1:16" s="10" customFormat="1" ht="15" x14ac:dyDescent="0.25">
      <c r="A44" s="74">
        <v>5</v>
      </c>
      <c r="B44" s="11" t="s">
        <v>236</v>
      </c>
      <c r="C44" s="25">
        <f>SUM(C45:C49)</f>
        <v>91949981</v>
      </c>
      <c r="D44" s="25">
        <f>SUM(D45:D49)</f>
        <v>90369933</v>
      </c>
      <c r="E44" s="25">
        <f t="shared" ref="E44:P44" si="14">SUM(E45:E49)</f>
        <v>0</v>
      </c>
      <c r="F44" s="25">
        <f t="shared" si="14"/>
        <v>0</v>
      </c>
      <c r="G44" s="25">
        <f t="shared" si="14"/>
        <v>0</v>
      </c>
      <c r="H44" s="25">
        <f t="shared" si="14"/>
        <v>0</v>
      </c>
      <c r="I44" s="25">
        <f t="shared" si="14"/>
        <v>0</v>
      </c>
      <c r="J44" s="25">
        <f t="shared" si="14"/>
        <v>0</v>
      </c>
      <c r="K44" s="25">
        <f t="shared" si="14"/>
        <v>91949981</v>
      </c>
      <c r="L44" s="25">
        <f>SUM(L45:L49)</f>
        <v>90369933</v>
      </c>
      <c r="M44" s="25">
        <f t="shared" si="14"/>
        <v>6149981</v>
      </c>
      <c r="N44" s="25">
        <f t="shared" si="14"/>
        <v>85800000</v>
      </c>
      <c r="O44" s="25">
        <f>O45+O46+O47+O48+O49</f>
        <v>5950369</v>
      </c>
      <c r="P44" s="25">
        <f t="shared" si="14"/>
        <v>84419564</v>
      </c>
    </row>
    <row r="45" spans="1:16" s="10" customFormat="1" ht="28.5" x14ac:dyDescent="0.2">
      <c r="A45" s="74">
        <v>6</v>
      </c>
      <c r="B45" s="13" t="s">
        <v>206</v>
      </c>
      <c r="C45" s="30">
        <v>5000000</v>
      </c>
      <c r="D45" s="30">
        <v>4666388</v>
      </c>
      <c r="E45" s="30"/>
      <c r="F45" s="30"/>
      <c r="G45" s="30"/>
      <c r="H45" s="30"/>
      <c r="I45" s="30"/>
      <c r="J45" s="30"/>
      <c r="K45" s="25">
        <f>C45+E45+G45+I45</f>
        <v>5000000</v>
      </c>
      <c r="L45" s="25">
        <f t="shared" si="11"/>
        <v>4666388</v>
      </c>
      <c r="M45" s="25">
        <f>C45+E45+G45+I45</f>
        <v>5000000</v>
      </c>
      <c r="N45" s="25">
        <v>0</v>
      </c>
      <c r="O45" s="25">
        <f t="shared" si="12"/>
        <v>4666388</v>
      </c>
      <c r="P45" s="25">
        <v>0</v>
      </c>
    </row>
    <row r="46" spans="1:16" s="10" customFormat="1" ht="28.5" x14ac:dyDescent="0.2">
      <c r="A46" s="74">
        <v>7</v>
      </c>
      <c r="B46" s="13" t="s">
        <v>43</v>
      </c>
      <c r="C46" s="30"/>
      <c r="D46" s="30"/>
      <c r="E46" s="30"/>
      <c r="F46" s="30"/>
      <c r="G46" s="30"/>
      <c r="H46" s="30"/>
      <c r="I46" s="30"/>
      <c r="J46" s="30"/>
      <c r="K46" s="25">
        <f t="shared" si="13"/>
        <v>0</v>
      </c>
      <c r="L46" s="25">
        <f t="shared" si="11"/>
        <v>0</v>
      </c>
      <c r="M46" s="25">
        <f>C46+E46+G46+I46</f>
        <v>0</v>
      </c>
      <c r="N46" s="25">
        <v>0</v>
      </c>
      <c r="O46" s="25">
        <f t="shared" si="12"/>
        <v>0</v>
      </c>
      <c r="P46" s="25">
        <v>0</v>
      </c>
    </row>
    <row r="47" spans="1:16" s="10" customFormat="1" ht="33.75" customHeight="1" x14ac:dyDescent="0.2">
      <c r="A47" s="74">
        <v>8</v>
      </c>
      <c r="B47" s="183" t="s">
        <v>207</v>
      </c>
      <c r="C47" s="30">
        <v>0</v>
      </c>
      <c r="D47" s="30">
        <v>134000</v>
      </c>
      <c r="E47" s="30"/>
      <c r="F47" s="30"/>
      <c r="G47" s="30"/>
      <c r="H47" s="30"/>
      <c r="I47" s="30"/>
      <c r="J47" s="30"/>
      <c r="K47" s="25">
        <f>C47+E47+G47+I47</f>
        <v>0</v>
      </c>
      <c r="L47" s="25">
        <f t="shared" si="11"/>
        <v>134000</v>
      </c>
      <c r="M47" s="25"/>
      <c r="N47" s="25"/>
      <c r="O47" s="25">
        <f t="shared" si="12"/>
        <v>134000</v>
      </c>
      <c r="P47" s="25"/>
    </row>
    <row r="48" spans="1:16" s="10" customFormat="1" ht="15" x14ac:dyDescent="0.2">
      <c r="A48" s="74">
        <v>9</v>
      </c>
      <c r="B48" s="13" t="s">
        <v>224</v>
      </c>
      <c r="C48" s="30">
        <v>1149981</v>
      </c>
      <c r="D48" s="30">
        <v>1149981</v>
      </c>
      <c r="E48" s="30"/>
      <c r="F48" s="30"/>
      <c r="G48" s="30"/>
      <c r="H48" s="30"/>
      <c r="I48" s="30"/>
      <c r="J48" s="30"/>
      <c r="K48" s="25">
        <f t="shared" si="13"/>
        <v>1149981</v>
      </c>
      <c r="L48" s="25">
        <f t="shared" si="11"/>
        <v>1149981</v>
      </c>
      <c r="M48" s="25">
        <f>K48</f>
        <v>1149981</v>
      </c>
      <c r="N48" s="25"/>
      <c r="O48" s="25">
        <f t="shared" si="12"/>
        <v>1149981</v>
      </c>
      <c r="P48" s="25"/>
    </row>
    <row r="49" spans="1:16" s="10" customFormat="1" ht="28.5" x14ac:dyDescent="0.2">
      <c r="A49" s="74">
        <v>10</v>
      </c>
      <c r="B49" s="13" t="s">
        <v>208</v>
      </c>
      <c r="C49" s="30">
        <v>85800000</v>
      </c>
      <c r="D49" s="30">
        <v>84419564</v>
      </c>
      <c r="E49" s="30"/>
      <c r="F49" s="30"/>
      <c r="G49" s="30"/>
      <c r="H49" s="30"/>
      <c r="I49" s="30"/>
      <c r="J49" s="30"/>
      <c r="K49" s="25">
        <f t="shared" si="13"/>
        <v>85800000</v>
      </c>
      <c r="L49" s="25">
        <f t="shared" si="11"/>
        <v>84419564</v>
      </c>
      <c r="M49" s="25">
        <v>0</v>
      </c>
      <c r="N49" s="25">
        <f>C49</f>
        <v>85800000</v>
      </c>
      <c r="O49" s="25">
        <f>F49+H49+J49</f>
        <v>0</v>
      </c>
      <c r="P49" s="25">
        <f>D49</f>
        <v>84419564</v>
      </c>
    </row>
    <row r="50" spans="1:16" s="15" customFormat="1" ht="30" x14ac:dyDescent="0.25">
      <c r="A50" s="74">
        <v>11</v>
      </c>
      <c r="B50" s="11" t="s">
        <v>209</v>
      </c>
      <c r="C50" s="24">
        <v>2000000</v>
      </c>
      <c r="D50" s="24">
        <v>2137800</v>
      </c>
      <c r="E50" s="24"/>
      <c r="F50" s="24"/>
      <c r="G50" s="24"/>
      <c r="H50" s="24"/>
      <c r="I50" s="24"/>
      <c r="J50" s="24"/>
      <c r="K50" s="25">
        <f t="shared" si="13"/>
        <v>2000000</v>
      </c>
      <c r="L50" s="25">
        <f t="shared" si="11"/>
        <v>2137800</v>
      </c>
      <c r="M50" s="25">
        <f>C50+E50+G50+I50-N50</f>
        <v>2000000</v>
      </c>
      <c r="N50" s="25">
        <v>0</v>
      </c>
      <c r="O50" s="25">
        <f t="shared" si="12"/>
        <v>2137800</v>
      </c>
      <c r="P50" s="25">
        <v>0</v>
      </c>
    </row>
    <row r="51" spans="1:16" ht="30" x14ac:dyDescent="0.25">
      <c r="A51" s="74">
        <v>12</v>
      </c>
      <c r="B51" s="11" t="s">
        <v>210</v>
      </c>
      <c r="C51" s="25">
        <f>SUM(C52:C53)</f>
        <v>30074144</v>
      </c>
      <c r="D51" s="25">
        <f t="shared" ref="D51:M51" si="15">SUM(D52:D53)</f>
        <v>81561571</v>
      </c>
      <c r="E51" s="25">
        <f t="shared" si="15"/>
        <v>0</v>
      </c>
      <c r="F51" s="25">
        <f t="shared" si="15"/>
        <v>0</v>
      </c>
      <c r="G51" s="25">
        <f t="shared" si="15"/>
        <v>0</v>
      </c>
      <c r="H51" s="25">
        <f t="shared" si="15"/>
        <v>0</v>
      </c>
      <c r="I51" s="25">
        <f t="shared" si="15"/>
        <v>0</v>
      </c>
      <c r="J51" s="25">
        <f t="shared" si="15"/>
        <v>0</v>
      </c>
      <c r="K51" s="25">
        <f t="shared" si="15"/>
        <v>30074144</v>
      </c>
      <c r="L51" s="25">
        <f t="shared" si="15"/>
        <v>81561571</v>
      </c>
      <c r="M51" s="25">
        <f t="shared" si="15"/>
        <v>30074144</v>
      </c>
      <c r="N51" s="25">
        <f>SUM(N52:N53)</f>
        <v>0</v>
      </c>
      <c r="O51" s="25">
        <f t="shared" si="12"/>
        <v>81561571</v>
      </c>
      <c r="P51" s="25">
        <v>0</v>
      </c>
    </row>
    <row r="52" spans="1:16" ht="15" x14ac:dyDescent="0.2">
      <c r="A52" s="74">
        <v>13</v>
      </c>
      <c r="B52" s="13" t="s">
        <v>46</v>
      </c>
      <c r="C52" s="30">
        <v>30074144</v>
      </c>
      <c r="D52" s="30">
        <v>81561571</v>
      </c>
      <c r="E52" s="30"/>
      <c r="F52" s="30"/>
      <c r="G52" s="30"/>
      <c r="H52" s="30"/>
      <c r="I52" s="30"/>
      <c r="J52" s="30"/>
      <c r="K52" s="25">
        <f t="shared" si="13"/>
        <v>30074144</v>
      </c>
      <c r="L52" s="25">
        <f t="shared" si="11"/>
        <v>81561571</v>
      </c>
      <c r="M52" s="25">
        <f>C52+E52+G52+I52</f>
        <v>30074144</v>
      </c>
      <c r="N52" s="25">
        <v>0</v>
      </c>
      <c r="O52" s="25">
        <f t="shared" si="12"/>
        <v>81561571</v>
      </c>
      <c r="P52" s="25">
        <v>0</v>
      </c>
    </row>
    <row r="53" spans="1:16" ht="15" x14ac:dyDescent="0.2">
      <c r="A53" s="74">
        <v>14</v>
      </c>
      <c r="B53" s="13" t="s">
        <v>47</v>
      </c>
      <c r="C53" s="30"/>
      <c r="D53" s="30"/>
      <c r="E53" s="30"/>
      <c r="F53" s="30"/>
      <c r="G53" s="30"/>
      <c r="H53" s="30"/>
      <c r="I53" s="30"/>
      <c r="J53" s="30"/>
      <c r="K53" s="25">
        <f t="shared" si="13"/>
        <v>0</v>
      </c>
      <c r="L53" s="25">
        <f t="shared" si="11"/>
        <v>0</v>
      </c>
      <c r="M53" s="25">
        <f>C53+E53+G53+I53</f>
        <v>0</v>
      </c>
      <c r="N53" s="25">
        <v>0</v>
      </c>
      <c r="O53" s="25">
        <f t="shared" si="12"/>
        <v>0</v>
      </c>
      <c r="P53" s="25">
        <v>0</v>
      </c>
    </row>
    <row r="54" spans="1:16" s="14" customFormat="1" ht="15" x14ac:dyDescent="0.25">
      <c r="A54" s="74">
        <v>15</v>
      </c>
      <c r="B54" s="12" t="s">
        <v>48</v>
      </c>
      <c r="C54" s="29">
        <f t="shared" ref="C54:P54" si="16">C51+C44+C43+C42+C41+C40+C50</f>
        <v>599200055</v>
      </c>
      <c r="D54" s="29">
        <f t="shared" si="16"/>
        <v>699718704</v>
      </c>
      <c r="E54" s="29">
        <f t="shared" si="16"/>
        <v>112092400</v>
      </c>
      <c r="F54" s="29">
        <f t="shared" si="16"/>
        <v>119002884</v>
      </c>
      <c r="G54" s="29">
        <f t="shared" si="16"/>
        <v>335628249</v>
      </c>
      <c r="H54" s="29">
        <f t="shared" si="16"/>
        <v>389614272</v>
      </c>
      <c r="I54" s="29">
        <f t="shared" si="16"/>
        <v>202162257</v>
      </c>
      <c r="J54" s="29">
        <f t="shared" si="16"/>
        <v>206995548</v>
      </c>
      <c r="K54" s="29">
        <f t="shared" si="16"/>
        <v>1249082961</v>
      </c>
      <c r="L54" s="29">
        <f t="shared" si="16"/>
        <v>1415331408</v>
      </c>
      <c r="M54" s="29">
        <f t="shared" si="16"/>
        <v>1163282961</v>
      </c>
      <c r="N54" s="29">
        <f t="shared" si="16"/>
        <v>85800000</v>
      </c>
      <c r="O54" s="29">
        <f t="shared" si="16"/>
        <v>1330911844</v>
      </c>
      <c r="P54" s="29">
        <f t="shared" si="16"/>
        <v>84419564</v>
      </c>
    </row>
    <row r="55" spans="1:16" ht="15" x14ac:dyDescent="0.25">
      <c r="A55" s="74">
        <v>16</v>
      </c>
      <c r="B55" s="11" t="s">
        <v>211</v>
      </c>
      <c r="C55" s="25">
        <f>'6 Ber-Felúj. kiad.'!C35</f>
        <v>216734999.99999997</v>
      </c>
      <c r="D55" s="25">
        <v>164284287</v>
      </c>
      <c r="E55" s="25"/>
      <c r="F55" s="25"/>
      <c r="G55" s="25">
        <v>1270000</v>
      </c>
      <c r="H55" s="25">
        <v>11511788</v>
      </c>
      <c r="I55" s="25">
        <v>1304000</v>
      </c>
      <c r="J55" s="25">
        <v>4650402</v>
      </c>
      <c r="K55" s="25">
        <f>C55+E55+G55+I55</f>
        <v>219308999.99999997</v>
      </c>
      <c r="L55" s="25">
        <f>D55+F55+H55+J55</f>
        <v>180446477</v>
      </c>
      <c r="M55" s="25">
        <f>K55</f>
        <v>219308999.99999997</v>
      </c>
      <c r="N55" s="25"/>
      <c r="O55" s="25">
        <f t="shared" ref="O55:O60" si="17">D55+F55+H55+J55</f>
        <v>180446477</v>
      </c>
      <c r="P55" s="25">
        <v>0</v>
      </c>
    </row>
    <row r="56" spans="1:16" ht="15" x14ac:dyDescent="0.25">
      <c r="A56" s="74">
        <v>17</v>
      </c>
      <c r="B56" s="11" t="s">
        <v>212</v>
      </c>
      <c r="C56" s="25">
        <f>'6 Ber-Felúj. kiad.'!C46</f>
        <v>39287999.75</v>
      </c>
      <c r="D56" s="25">
        <v>30232794</v>
      </c>
      <c r="E56" s="25"/>
      <c r="F56" s="25"/>
      <c r="G56" s="25"/>
      <c r="H56" s="25"/>
      <c r="I56" s="25"/>
      <c r="J56" s="25"/>
      <c r="K56" s="25">
        <f t="shared" si="13"/>
        <v>39287999.75</v>
      </c>
      <c r="L56" s="25">
        <f t="shared" si="11"/>
        <v>30232794</v>
      </c>
      <c r="M56" s="25">
        <f>C56</f>
        <v>39287999.75</v>
      </c>
      <c r="N56" s="25">
        <v>0</v>
      </c>
      <c r="O56" s="25">
        <f t="shared" si="17"/>
        <v>30232794</v>
      </c>
      <c r="P56" s="25">
        <v>0</v>
      </c>
    </row>
    <row r="57" spans="1:16" ht="15" x14ac:dyDescent="0.25">
      <c r="A57" s="74">
        <v>18</v>
      </c>
      <c r="B57" s="11" t="s">
        <v>213</v>
      </c>
      <c r="C57" s="25">
        <f t="shared" ref="C57:N57" si="18">SUM(C58:C60)</f>
        <v>0</v>
      </c>
      <c r="D57" s="25">
        <f t="shared" si="18"/>
        <v>0</v>
      </c>
      <c r="E57" s="25">
        <f t="shared" si="18"/>
        <v>0</v>
      </c>
      <c r="F57" s="25">
        <f t="shared" si="18"/>
        <v>0</v>
      </c>
      <c r="G57" s="25">
        <f t="shared" si="18"/>
        <v>0</v>
      </c>
      <c r="H57" s="25">
        <f t="shared" si="18"/>
        <v>0</v>
      </c>
      <c r="I57" s="25">
        <f t="shared" si="18"/>
        <v>0</v>
      </c>
      <c r="J57" s="25">
        <f t="shared" si="18"/>
        <v>0</v>
      </c>
      <c r="K57" s="25">
        <f t="shared" si="18"/>
        <v>0</v>
      </c>
      <c r="L57" s="25">
        <f t="shared" si="18"/>
        <v>0</v>
      </c>
      <c r="M57" s="25">
        <f t="shared" si="18"/>
        <v>0</v>
      </c>
      <c r="N57" s="25">
        <f t="shared" si="18"/>
        <v>0</v>
      </c>
      <c r="O57" s="25">
        <f t="shared" si="17"/>
        <v>0</v>
      </c>
      <c r="P57" s="25">
        <v>0</v>
      </c>
    </row>
    <row r="58" spans="1:16" ht="15" x14ac:dyDescent="0.2">
      <c r="A58" s="74">
        <v>19</v>
      </c>
      <c r="B58" s="16" t="s">
        <v>51</v>
      </c>
      <c r="C58" s="30"/>
      <c r="D58" s="30"/>
      <c r="E58" s="30"/>
      <c r="F58" s="30"/>
      <c r="G58" s="30"/>
      <c r="H58" s="30"/>
      <c r="I58" s="30"/>
      <c r="J58" s="30"/>
      <c r="K58" s="25">
        <f t="shared" si="13"/>
        <v>0</v>
      </c>
      <c r="L58" s="25">
        <f t="shared" si="11"/>
        <v>0</v>
      </c>
      <c r="M58" s="25">
        <f>C58+E58+G58+I58</f>
        <v>0</v>
      </c>
      <c r="N58" s="25">
        <v>0</v>
      </c>
      <c r="O58" s="25">
        <f t="shared" si="17"/>
        <v>0</v>
      </c>
      <c r="P58" s="25">
        <v>0</v>
      </c>
    </row>
    <row r="59" spans="1:16" ht="28.5" x14ac:dyDescent="0.2">
      <c r="A59" s="74">
        <v>20</v>
      </c>
      <c r="B59" s="16" t="s">
        <v>176</v>
      </c>
      <c r="C59" s="30"/>
      <c r="D59" s="30"/>
      <c r="E59" s="30"/>
      <c r="F59" s="30"/>
      <c r="G59" s="30"/>
      <c r="H59" s="30"/>
      <c r="I59" s="30"/>
      <c r="J59" s="30"/>
      <c r="K59" s="25">
        <f t="shared" si="13"/>
        <v>0</v>
      </c>
      <c r="L59" s="25">
        <f t="shared" si="11"/>
        <v>0</v>
      </c>
      <c r="M59" s="25">
        <f>C59+E59+G59+I59</f>
        <v>0</v>
      </c>
      <c r="N59" s="25">
        <v>0</v>
      </c>
      <c r="O59" s="25">
        <f t="shared" si="17"/>
        <v>0</v>
      </c>
      <c r="P59" s="25">
        <v>0</v>
      </c>
    </row>
    <row r="60" spans="1:16" ht="28.5" x14ac:dyDescent="0.2">
      <c r="A60" s="74">
        <v>21</v>
      </c>
      <c r="B60" s="16" t="s">
        <v>53</v>
      </c>
      <c r="C60" s="30"/>
      <c r="D60" s="30"/>
      <c r="E60" s="30"/>
      <c r="F60" s="30"/>
      <c r="G60" s="30"/>
      <c r="H60" s="30"/>
      <c r="I60" s="30"/>
      <c r="J60" s="30"/>
      <c r="K60" s="25">
        <f t="shared" si="13"/>
        <v>0</v>
      </c>
      <c r="L60" s="25">
        <f t="shared" si="11"/>
        <v>0</v>
      </c>
      <c r="M60" s="25">
        <f>C60+E60+G60+I60</f>
        <v>0</v>
      </c>
      <c r="N60" s="25">
        <v>0</v>
      </c>
      <c r="O60" s="25">
        <f t="shared" si="17"/>
        <v>0</v>
      </c>
      <c r="P60" s="25">
        <v>0</v>
      </c>
    </row>
    <row r="61" spans="1:16" s="14" customFormat="1" ht="15" x14ac:dyDescent="0.25">
      <c r="A61" s="74">
        <v>22</v>
      </c>
      <c r="B61" s="12" t="s">
        <v>54</v>
      </c>
      <c r="C61" s="29">
        <f>C55+C56+C57</f>
        <v>256022999.74999997</v>
      </c>
      <c r="D61" s="29">
        <f>D55+D56+D57</f>
        <v>194517081</v>
      </c>
      <c r="E61" s="29">
        <f t="shared" ref="E61:P61" si="19">E55+E56+E57</f>
        <v>0</v>
      </c>
      <c r="F61" s="29">
        <f t="shared" si="19"/>
        <v>0</v>
      </c>
      <c r="G61" s="29">
        <f t="shared" si="19"/>
        <v>1270000</v>
      </c>
      <c r="H61" s="29">
        <f t="shared" si="19"/>
        <v>11511788</v>
      </c>
      <c r="I61" s="29">
        <f>I55+I56+I57</f>
        <v>1304000</v>
      </c>
      <c r="J61" s="29">
        <f t="shared" si="19"/>
        <v>4650402</v>
      </c>
      <c r="K61" s="29">
        <f t="shared" si="19"/>
        <v>258596999.74999997</v>
      </c>
      <c r="L61" s="29">
        <f t="shared" si="19"/>
        <v>210679271</v>
      </c>
      <c r="M61" s="29">
        <f t="shared" si="19"/>
        <v>258596999.74999997</v>
      </c>
      <c r="N61" s="29">
        <f t="shared" si="19"/>
        <v>0</v>
      </c>
      <c r="O61" s="29">
        <f t="shared" si="19"/>
        <v>210679271</v>
      </c>
      <c r="P61" s="29">
        <f t="shared" si="19"/>
        <v>0</v>
      </c>
    </row>
    <row r="62" spans="1:16" ht="15" x14ac:dyDescent="0.25">
      <c r="A62" s="74">
        <v>23</v>
      </c>
      <c r="B62" s="5" t="s">
        <v>55</v>
      </c>
      <c r="C62" s="25">
        <f>C61+C54-C43</f>
        <v>572699253.75</v>
      </c>
      <c r="D62" s="25">
        <f>D61+D54-D43</f>
        <v>594152514</v>
      </c>
      <c r="E62" s="25">
        <f>E61+E54</f>
        <v>112092400</v>
      </c>
      <c r="F62" s="25">
        <f t="shared" ref="F62:P62" si="20">F61+F54</f>
        <v>119002884</v>
      </c>
      <c r="G62" s="25">
        <f t="shared" si="20"/>
        <v>336898249</v>
      </c>
      <c r="H62" s="25">
        <f t="shared" si="20"/>
        <v>401126060</v>
      </c>
      <c r="I62" s="25">
        <f t="shared" si="20"/>
        <v>203466257</v>
      </c>
      <c r="J62" s="25">
        <f t="shared" si="20"/>
        <v>211645950</v>
      </c>
      <c r="K62" s="25">
        <f>K61+K54-K43</f>
        <v>1225156159.75</v>
      </c>
      <c r="L62" s="25">
        <f>L61+L54-D43</f>
        <v>1325927408</v>
      </c>
      <c r="M62" s="25">
        <f>M61+M54-M43</f>
        <v>1139356159.75</v>
      </c>
      <c r="N62" s="25">
        <f t="shared" si="20"/>
        <v>85800000</v>
      </c>
      <c r="O62" s="25">
        <f>O61+O54-O43</f>
        <v>1241507844</v>
      </c>
      <c r="P62" s="25">
        <f t="shared" si="20"/>
        <v>84419564</v>
      </c>
    </row>
    <row r="63" spans="1:16" ht="15" x14ac:dyDescent="0.2">
      <c r="A63" s="74">
        <v>24</v>
      </c>
      <c r="B63" s="8" t="s">
        <v>310</v>
      </c>
      <c r="C63" s="25">
        <v>0</v>
      </c>
      <c r="D63" s="25">
        <v>214928822</v>
      </c>
      <c r="E63" s="25">
        <v>0</v>
      </c>
      <c r="F63" s="25">
        <v>0</v>
      </c>
      <c r="G63" s="25">
        <v>0</v>
      </c>
      <c r="H63" s="25">
        <v>0</v>
      </c>
      <c r="I63" s="25"/>
      <c r="J63" s="25"/>
      <c r="K63" s="25">
        <f t="shared" ref="K63" si="21">C63+E63+G63+I63</f>
        <v>0</v>
      </c>
      <c r="L63" s="25">
        <f t="shared" ref="L63" si="22">D63+F63+H63+J63</f>
        <v>214928822</v>
      </c>
      <c r="M63" s="25">
        <f>C63+E63+G63+I63</f>
        <v>0</v>
      </c>
      <c r="N63" s="25">
        <v>0</v>
      </c>
      <c r="O63" s="25">
        <f>D63</f>
        <v>214928822</v>
      </c>
      <c r="P63" s="25">
        <v>0</v>
      </c>
    </row>
    <row r="64" spans="1:16" ht="15" x14ac:dyDescent="0.2">
      <c r="A64" s="74">
        <v>25</v>
      </c>
      <c r="B64" s="8" t="s">
        <v>309</v>
      </c>
      <c r="C64" s="25">
        <v>8750161</v>
      </c>
      <c r="D64" s="25">
        <v>8906585</v>
      </c>
      <c r="E64" s="25">
        <v>0</v>
      </c>
      <c r="F64" s="25">
        <v>0</v>
      </c>
      <c r="G64" s="25">
        <v>0</v>
      </c>
      <c r="H64" s="25">
        <v>0</v>
      </c>
      <c r="I64" s="25"/>
      <c r="J64" s="25"/>
      <c r="K64" s="25">
        <f t="shared" si="13"/>
        <v>8750161</v>
      </c>
      <c r="L64" s="25">
        <f t="shared" si="11"/>
        <v>8906585</v>
      </c>
      <c r="M64" s="25">
        <f>C64+E64+G64+I64</f>
        <v>8750161</v>
      </c>
      <c r="N64" s="25">
        <v>0</v>
      </c>
      <c r="O64" s="25">
        <f>D64</f>
        <v>8906585</v>
      </c>
      <c r="P64" s="25">
        <v>0</v>
      </c>
    </row>
    <row r="65" spans="1:16" ht="15" x14ac:dyDescent="0.25">
      <c r="A65" s="74">
        <v>26</v>
      </c>
      <c r="B65" s="22" t="s">
        <v>56</v>
      </c>
      <c r="C65" s="31">
        <f>SUM(C62:C64)</f>
        <v>581449414.75</v>
      </c>
      <c r="D65" s="31">
        <f t="shared" ref="D65:I65" si="23">SUM(D62:D64)</f>
        <v>817987921</v>
      </c>
      <c r="E65" s="31">
        <f t="shared" si="23"/>
        <v>112092400</v>
      </c>
      <c r="F65" s="31">
        <f t="shared" si="23"/>
        <v>119002884</v>
      </c>
      <c r="G65" s="31">
        <f t="shared" si="23"/>
        <v>336898249</v>
      </c>
      <c r="H65" s="31">
        <f t="shared" si="23"/>
        <v>401126060</v>
      </c>
      <c r="I65" s="31">
        <f t="shared" si="23"/>
        <v>203466257</v>
      </c>
      <c r="J65" s="31">
        <f>SUM(J62:J64)</f>
        <v>211645950</v>
      </c>
      <c r="K65" s="32">
        <f t="shared" ref="K65:P65" si="24">K62+K64</f>
        <v>1233906320.75</v>
      </c>
      <c r="L65" s="32">
        <f t="shared" si="24"/>
        <v>1334833993</v>
      </c>
      <c r="M65" s="34">
        <f t="shared" si="24"/>
        <v>1148106320.75</v>
      </c>
      <c r="N65" s="34">
        <f t="shared" si="24"/>
        <v>85800000</v>
      </c>
      <c r="O65" s="35">
        <f t="shared" si="24"/>
        <v>1250414429</v>
      </c>
      <c r="P65" s="35">
        <f t="shared" si="24"/>
        <v>84419564</v>
      </c>
    </row>
    <row r="66" spans="1:16" ht="15" x14ac:dyDescent="0.2">
      <c r="B66" s="17"/>
      <c r="I66" s="33"/>
      <c r="J66" s="33"/>
    </row>
    <row r="67" spans="1:16" ht="15" x14ac:dyDescent="0.2">
      <c r="B67" s="17"/>
      <c r="I67" s="33"/>
      <c r="J67" s="33"/>
    </row>
    <row r="68" spans="1:16" ht="60" x14ac:dyDescent="0.2">
      <c r="B68" s="17" t="s">
        <v>57</v>
      </c>
    </row>
    <row r="69" spans="1:16" ht="15" x14ac:dyDescent="0.2">
      <c r="B69" s="17"/>
    </row>
    <row r="70" spans="1:16" ht="15" x14ac:dyDescent="0.2">
      <c r="B70" s="17"/>
    </row>
    <row r="71" spans="1:16" ht="15" x14ac:dyDescent="0.2">
      <c r="B71" s="17"/>
    </row>
    <row r="72" spans="1:16" ht="15" x14ac:dyDescent="0.2">
      <c r="B72" s="17"/>
    </row>
    <row r="73" spans="1:16" ht="15" x14ac:dyDescent="0.2">
      <c r="B73" s="17"/>
    </row>
    <row r="74" spans="1:16" ht="15" x14ac:dyDescent="0.2">
      <c r="B74" s="17"/>
    </row>
    <row r="75" spans="1:16" s="3" customFormat="1" ht="15" x14ac:dyDescent="0.2">
      <c r="A75" s="74"/>
      <c r="B75" s="17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</row>
    <row r="76" spans="1:16" s="3" customFormat="1" ht="15" x14ac:dyDescent="0.2">
      <c r="A76" s="74"/>
      <c r="B76" s="17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</row>
    <row r="77" spans="1:16" s="3" customFormat="1" ht="15" x14ac:dyDescent="0.2">
      <c r="A77" s="74"/>
      <c r="B77" s="17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</row>
    <row r="78" spans="1:16" s="3" customFormat="1" ht="15" x14ac:dyDescent="0.2">
      <c r="A78" s="74"/>
      <c r="B78" s="17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</row>
    <row r="79" spans="1:16" s="3" customFormat="1" ht="15" x14ac:dyDescent="0.2">
      <c r="A79" s="74"/>
      <c r="B79" s="17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</row>
    <row r="80" spans="1:16" s="3" customFormat="1" ht="15" x14ac:dyDescent="0.2">
      <c r="A80" s="74"/>
      <c r="B80" s="17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</row>
    <row r="81" spans="1:16" s="3" customFormat="1" ht="15" x14ac:dyDescent="0.2">
      <c r="A81" s="74"/>
      <c r="B81" s="17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</row>
    <row r="82" spans="1:16" s="3" customFormat="1" ht="15" x14ac:dyDescent="0.2">
      <c r="A82" s="74"/>
      <c r="B82" s="17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</row>
    <row r="83" spans="1:16" s="3" customFormat="1" ht="15" x14ac:dyDescent="0.2">
      <c r="A83" s="74"/>
      <c r="B83" s="17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</row>
    <row r="84" spans="1:16" s="3" customFormat="1" ht="15" x14ac:dyDescent="0.2">
      <c r="A84" s="74"/>
      <c r="B84" s="17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</row>
    <row r="85" spans="1:16" s="3" customFormat="1" ht="15" x14ac:dyDescent="0.2">
      <c r="A85" s="74"/>
      <c r="B85" s="17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</row>
    <row r="86" spans="1:16" s="3" customFormat="1" ht="15" x14ac:dyDescent="0.2">
      <c r="A86" s="74"/>
      <c r="B86" s="17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</row>
    <row r="87" spans="1:16" s="3" customFormat="1" ht="15" x14ac:dyDescent="0.2">
      <c r="A87" s="74"/>
      <c r="B87" s="17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</row>
    <row r="88" spans="1:16" s="3" customFormat="1" ht="15" x14ac:dyDescent="0.2">
      <c r="A88" s="74"/>
      <c r="B88" s="17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</row>
    <row r="89" spans="1:16" s="3" customFormat="1" ht="15" x14ac:dyDescent="0.2">
      <c r="A89" s="74"/>
      <c r="B89" s="17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</row>
    <row r="90" spans="1:16" s="3" customFormat="1" ht="15" x14ac:dyDescent="0.2">
      <c r="A90" s="74"/>
      <c r="B90" s="17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</row>
    <row r="91" spans="1:16" s="3" customFormat="1" ht="15" x14ac:dyDescent="0.2">
      <c r="A91" s="74"/>
      <c r="B91" s="17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</row>
    <row r="92" spans="1:16" s="3" customFormat="1" ht="15" x14ac:dyDescent="0.2">
      <c r="A92" s="74"/>
      <c r="B92" s="17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</row>
    <row r="93" spans="1:16" s="3" customFormat="1" ht="15" x14ac:dyDescent="0.2">
      <c r="A93" s="74"/>
      <c r="B93" s="17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</row>
    <row r="94" spans="1:16" s="3" customFormat="1" ht="15" x14ac:dyDescent="0.2">
      <c r="A94" s="74"/>
      <c r="B94" s="17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</row>
    <row r="95" spans="1:16" s="3" customFormat="1" ht="15" x14ac:dyDescent="0.2">
      <c r="A95" s="74"/>
      <c r="B95" s="17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</row>
    <row r="96" spans="1:16" s="3" customFormat="1" ht="15" x14ac:dyDescent="0.2">
      <c r="A96" s="74"/>
      <c r="B96" s="17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</row>
    <row r="97" spans="1:16" s="3" customFormat="1" ht="15" x14ac:dyDescent="0.2">
      <c r="A97" s="74"/>
      <c r="B97" s="17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</row>
    <row r="98" spans="1:16" s="3" customFormat="1" ht="15" x14ac:dyDescent="0.2">
      <c r="A98" s="74"/>
      <c r="B98" s="17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</row>
    <row r="99" spans="1:16" s="3" customFormat="1" ht="15" x14ac:dyDescent="0.2">
      <c r="A99" s="74"/>
      <c r="B99" s="17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</row>
    <row r="100" spans="1:16" s="3" customFormat="1" ht="15" x14ac:dyDescent="0.2">
      <c r="A100" s="74"/>
      <c r="B100" s="17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</row>
    <row r="101" spans="1:16" s="3" customFormat="1" ht="15" x14ac:dyDescent="0.2">
      <c r="A101" s="74"/>
      <c r="B101" s="17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</row>
    <row r="102" spans="1:16" s="3" customFormat="1" ht="15" x14ac:dyDescent="0.2">
      <c r="A102" s="74"/>
      <c r="B102" s="17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</row>
    <row r="103" spans="1:16" s="3" customFormat="1" ht="15" x14ac:dyDescent="0.2">
      <c r="A103" s="74"/>
      <c r="B103" s="17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</row>
    <row r="104" spans="1:16" s="3" customFormat="1" ht="15" x14ac:dyDescent="0.2">
      <c r="A104" s="74"/>
      <c r="B104" s="17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</row>
    <row r="105" spans="1:16" s="3" customFormat="1" ht="15" x14ac:dyDescent="0.2">
      <c r="A105" s="74"/>
      <c r="B105" s="17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</row>
    <row r="106" spans="1:16" s="3" customFormat="1" ht="15" x14ac:dyDescent="0.2">
      <c r="A106" s="74"/>
      <c r="B106" s="17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</row>
    <row r="107" spans="1:16" s="3" customFormat="1" ht="15" x14ac:dyDescent="0.2">
      <c r="A107" s="74"/>
      <c r="B107" s="17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</row>
    <row r="108" spans="1:16" s="3" customFormat="1" ht="15" x14ac:dyDescent="0.2">
      <c r="A108" s="74"/>
      <c r="B108" s="17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</row>
    <row r="109" spans="1:16" s="3" customFormat="1" ht="15" x14ac:dyDescent="0.2">
      <c r="A109" s="74"/>
      <c r="B109" s="17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</row>
    <row r="110" spans="1:16" s="3" customFormat="1" ht="15" x14ac:dyDescent="0.2">
      <c r="A110" s="74"/>
      <c r="B110" s="17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s="3" customFormat="1" ht="15" x14ac:dyDescent="0.2">
      <c r="A111" s="74"/>
      <c r="B111" s="17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</row>
    <row r="112" spans="1:16" s="3" customFormat="1" ht="15" x14ac:dyDescent="0.2">
      <c r="A112" s="74"/>
      <c r="B112" s="17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</row>
    <row r="113" spans="1:16" s="3" customFormat="1" ht="15" x14ac:dyDescent="0.2">
      <c r="A113" s="74"/>
      <c r="B113" s="17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</row>
    <row r="114" spans="1:16" s="3" customFormat="1" ht="15" x14ac:dyDescent="0.2">
      <c r="A114" s="74"/>
      <c r="B114" s="17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</row>
    <row r="115" spans="1:16" s="3" customFormat="1" ht="15" x14ac:dyDescent="0.2">
      <c r="A115" s="74"/>
      <c r="B115" s="17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</row>
    <row r="116" spans="1:16" s="3" customFormat="1" ht="15" x14ac:dyDescent="0.2">
      <c r="A116" s="74"/>
      <c r="B116" s="17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s="3" customFormat="1" ht="15" x14ac:dyDescent="0.2">
      <c r="A117" s="74"/>
      <c r="B117" s="17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s="3" customFormat="1" ht="15" x14ac:dyDescent="0.2">
      <c r="A118" s="74"/>
      <c r="B118" s="17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</row>
    <row r="119" spans="1:16" s="3" customFormat="1" ht="15" x14ac:dyDescent="0.2">
      <c r="A119" s="74"/>
      <c r="B119" s="17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</row>
    <row r="120" spans="1:16" s="3" customFormat="1" ht="15" x14ac:dyDescent="0.2">
      <c r="A120" s="74"/>
      <c r="B120" s="17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</row>
    <row r="121" spans="1:16" s="3" customFormat="1" ht="15" x14ac:dyDescent="0.2">
      <c r="A121" s="74"/>
      <c r="B121" s="17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</row>
    <row r="122" spans="1:16" s="3" customFormat="1" ht="15" x14ac:dyDescent="0.2">
      <c r="A122" s="74"/>
      <c r="B122" s="17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s="3" customFormat="1" ht="15" x14ac:dyDescent="0.2">
      <c r="A123" s="74"/>
      <c r="B123" s="17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9" scale="40" fitToHeight="2" orientation="landscape" r:id="rId1"/>
  <headerFooter alignWithMargins="0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view="pageBreakPreview" zoomScaleNormal="75" zoomScaleSheetLayoutView="100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1.140625" style="1" customWidth="1"/>
    <col min="3" max="4" width="18.140625" style="1" customWidth="1"/>
    <col min="5" max="5" width="19" style="1" customWidth="1"/>
    <col min="6" max="6" width="17.42578125" style="1" customWidth="1"/>
    <col min="7" max="7" width="19" style="1" customWidth="1"/>
    <col min="8" max="8" width="17.42578125" style="1" customWidth="1"/>
    <col min="9" max="16384" width="9.140625" style="1"/>
  </cols>
  <sheetData>
    <row r="1" spans="1:19" x14ac:dyDescent="0.2">
      <c r="B1" s="198" t="s">
        <v>299</v>
      </c>
      <c r="C1" s="198"/>
      <c r="D1" s="198"/>
      <c r="E1" s="198"/>
      <c r="F1" s="198"/>
      <c r="G1" s="198"/>
      <c r="H1" s="198"/>
      <c r="I1" s="198"/>
      <c r="J1" s="198"/>
    </row>
    <row r="2" spans="1:19" ht="20.25" x14ac:dyDescent="0.3">
      <c r="B2" s="176" t="s">
        <v>251</v>
      </c>
      <c r="E2" s="199"/>
      <c r="F2" s="199"/>
      <c r="G2" s="199"/>
      <c r="H2" s="199"/>
    </row>
    <row r="3" spans="1:19" x14ac:dyDescent="0.2">
      <c r="H3" s="1" t="s">
        <v>75</v>
      </c>
    </row>
    <row r="4" spans="1:19" ht="51" x14ac:dyDescent="0.2">
      <c r="B4" s="38" t="s">
        <v>0</v>
      </c>
      <c r="C4" s="39" t="s">
        <v>1</v>
      </c>
      <c r="D4" s="39" t="s">
        <v>71</v>
      </c>
      <c r="E4" s="39" t="s">
        <v>63</v>
      </c>
      <c r="F4" s="39" t="s">
        <v>64</v>
      </c>
      <c r="G4" s="39" t="s">
        <v>66</v>
      </c>
      <c r="H4" s="39" t="s">
        <v>67</v>
      </c>
    </row>
    <row r="5" spans="1:19" ht="14.25" x14ac:dyDescent="0.2">
      <c r="B5" s="40" t="s">
        <v>5</v>
      </c>
      <c r="C5" s="41" t="s">
        <v>6</v>
      </c>
      <c r="D5" s="41" t="s">
        <v>7</v>
      </c>
      <c r="E5" s="41" t="s">
        <v>8</v>
      </c>
      <c r="F5" s="41" t="s">
        <v>73</v>
      </c>
      <c r="G5" s="41" t="s">
        <v>10</v>
      </c>
      <c r="H5" s="41" t="s">
        <v>11</v>
      </c>
    </row>
    <row r="6" spans="1:19" ht="16.5" x14ac:dyDescent="0.2">
      <c r="A6" s="1">
        <v>1</v>
      </c>
      <c r="B6" s="42" t="s">
        <v>313</v>
      </c>
      <c r="C6" s="43">
        <v>125000000</v>
      </c>
      <c r="D6" s="43">
        <v>131073030</v>
      </c>
      <c r="E6" s="43">
        <f>C6</f>
        <v>125000000</v>
      </c>
      <c r="F6" s="43"/>
      <c r="G6" s="43">
        <f>D6</f>
        <v>131073030</v>
      </c>
      <c r="H6" s="43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5" x14ac:dyDescent="0.2">
      <c r="A7" s="1">
        <v>2</v>
      </c>
      <c r="B7" s="42" t="s">
        <v>314</v>
      </c>
      <c r="C7" s="43">
        <v>55000000</v>
      </c>
      <c r="D7" s="43">
        <v>74971005</v>
      </c>
      <c r="E7" s="43">
        <f t="shared" ref="E7:E10" si="0">C7</f>
        <v>55000000</v>
      </c>
      <c r="F7" s="43"/>
      <c r="G7" s="43">
        <f t="shared" ref="G7:G10" si="1">D7</f>
        <v>74971005</v>
      </c>
      <c r="H7" s="43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5" x14ac:dyDescent="0.2">
      <c r="A8" s="1">
        <v>3</v>
      </c>
      <c r="B8" s="42" t="s">
        <v>315</v>
      </c>
      <c r="C8" s="43">
        <v>55000000</v>
      </c>
      <c r="D8" s="43">
        <v>108748181</v>
      </c>
      <c r="E8" s="43">
        <f t="shared" si="0"/>
        <v>55000000</v>
      </c>
      <c r="F8" s="43"/>
      <c r="G8" s="43">
        <f t="shared" si="1"/>
        <v>108748181</v>
      </c>
      <c r="H8" s="43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5" x14ac:dyDescent="0.2">
      <c r="A9" s="1">
        <v>4</v>
      </c>
      <c r="B9" s="42" t="s">
        <v>316</v>
      </c>
      <c r="C9" s="43">
        <v>44000000</v>
      </c>
      <c r="D9" s="43">
        <v>50750940</v>
      </c>
      <c r="E9" s="43">
        <f t="shared" si="0"/>
        <v>44000000</v>
      </c>
      <c r="F9" s="43"/>
      <c r="G9" s="43">
        <f t="shared" si="1"/>
        <v>50750940</v>
      </c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7.2" customHeight="1" x14ac:dyDescent="0.2">
      <c r="A10" s="1">
        <v>5</v>
      </c>
      <c r="B10" s="42" t="s">
        <v>317</v>
      </c>
      <c r="C10" s="43">
        <v>3000000</v>
      </c>
      <c r="D10" s="43">
        <v>9450475</v>
      </c>
      <c r="E10" s="43">
        <f t="shared" si="0"/>
        <v>3000000</v>
      </c>
      <c r="F10" s="43"/>
      <c r="G10" s="43">
        <f t="shared" si="1"/>
        <v>9450475</v>
      </c>
      <c r="H10" s="4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1">
        <v>6</v>
      </c>
      <c r="B11" s="44" t="s">
        <v>72</v>
      </c>
      <c r="C11" s="45">
        <f>SUM(C6:C10)</f>
        <v>282000000</v>
      </c>
      <c r="D11" s="45">
        <f>SUM(D6:D10)</f>
        <v>374993631</v>
      </c>
      <c r="E11" s="45">
        <f t="shared" ref="E11:H11" si="2">SUM(E6:E10)</f>
        <v>282000000</v>
      </c>
      <c r="F11" s="45">
        <f t="shared" si="2"/>
        <v>0</v>
      </c>
      <c r="G11" s="45">
        <f t="shared" si="2"/>
        <v>374993631</v>
      </c>
      <c r="H11" s="45">
        <f t="shared" si="2"/>
        <v>0</v>
      </c>
    </row>
  </sheetData>
  <mergeCells count="2">
    <mergeCell ref="E2:H2"/>
    <mergeCell ref="B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B29"/>
  <sheetViews>
    <sheetView view="pageBreakPreview" topLeftCell="A10" zoomScale="75" zoomScaleNormal="75" zoomScaleSheetLayoutView="75" workbookViewId="0">
      <selection activeCell="H20" sqref="H20"/>
    </sheetView>
  </sheetViews>
  <sheetFormatPr defaultColWidth="9.140625" defaultRowHeight="12.75" x14ac:dyDescent="0.2"/>
  <cols>
    <col min="1" max="1" width="9.140625" style="1" customWidth="1"/>
    <col min="2" max="2" width="71.42578125" style="1" customWidth="1"/>
    <col min="3" max="3" width="18.85546875" style="1" customWidth="1"/>
    <col min="4" max="6" width="19.28515625" style="1" customWidth="1"/>
    <col min="7" max="7" width="21.85546875" style="1" customWidth="1"/>
    <col min="8" max="8" width="21" style="1" customWidth="1"/>
    <col min="9" max="9" width="19.7109375" style="1" customWidth="1"/>
    <col min="10" max="10" width="21" style="1" customWidth="1"/>
    <col min="11" max="16384" width="9.140625" style="1"/>
  </cols>
  <sheetData>
    <row r="3" spans="1:28" x14ac:dyDescent="0.2">
      <c r="A3" s="200" t="s">
        <v>300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28" ht="27.75" x14ac:dyDescent="0.4">
      <c r="B4" s="179" t="s">
        <v>253</v>
      </c>
      <c r="G4" s="201"/>
      <c r="H4" s="201"/>
      <c r="I4" s="201"/>
      <c r="J4" s="201"/>
    </row>
    <row r="5" spans="1:28" x14ac:dyDescent="0.2">
      <c r="I5" s="1" t="s">
        <v>75</v>
      </c>
    </row>
    <row r="6" spans="1:28" ht="60" x14ac:dyDescent="0.2">
      <c r="B6" s="47" t="s">
        <v>0</v>
      </c>
      <c r="C6" s="41" t="s">
        <v>1</v>
      </c>
      <c r="D6" s="41" t="s">
        <v>59</v>
      </c>
      <c r="E6" s="41" t="s">
        <v>217</v>
      </c>
      <c r="F6" s="41" t="s">
        <v>218</v>
      </c>
      <c r="G6" s="4" t="s">
        <v>63</v>
      </c>
      <c r="H6" s="4" t="s">
        <v>64</v>
      </c>
      <c r="I6" s="4" t="s">
        <v>66</v>
      </c>
      <c r="J6" s="4" t="s">
        <v>67</v>
      </c>
    </row>
    <row r="7" spans="1:28" ht="14.25" x14ac:dyDescent="0.2">
      <c r="B7" s="41" t="s">
        <v>5</v>
      </c>
      <c r="C7" s="41" t="s">
        <v>6</v>
      </c>
      <c r="D7" s="41" t="s">
        <v>7</v>
      </c>
      <c r="E7" s="41" t="s">
        <v>8</v>
      </c>
      <c r="F7" s="41" t="s">
        <v>73</v>
      </c>
      <c r="G7" s="41" t="s">
        <v>10</v>
      </c>
      <c r="H7" s="41" t="s">
        <v>11</v>
      </c>
      <c r="I7" s="41" t="s">
        <v>12</v>
      </c>
      <c r="J7" s="41" t="s">
        <v>13</v>
      </c>
    </row>
    <row r="8" spans="1:28" ht="16.5" x14ac:dyDescent="0.2">
      <c r="A8" s="1">
        <v>1</v>
      </c>
      <c r="B8" s="59" t="s">
        <v>219</v>
      </c>
      <c r="C8" s="48"/>
      <c r="D8" s="48"/>
      <c r="E8" s="48"/>
      <c r="F8" s="48"/>
      <c r="G8" s="49">
        <f t="shared" ref="G8:G13" si="0">C8</f>
        <v>0</v>
      </c>
      <c r="H8" s="49"/>
      <c r="I8" s="49">
        <f>D8+F8</f>
        <v>0</v>
      </c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ht="25.5" x14ac:dyDescent="0.2">
      <c r="A9" s="1">
        <v>2</v>
      </c>
      <c r="B9" s="59" t="s">
        <v>254</v>
      </c>
      <c r="C9" s="48">
        <v>9600000</v>
      </c>
      <c r="D9" s="48">
        <f>5774600+10100</f>
        <v>5784700</v>
      </c>
      <c r="E9" s="48"/>
      <c r="F9" s="48"/>
      <c r="G9" s="49">
        <f t="shared" si="0"/>
        <v>9600000</v>
      </c>
      <c r="H9" s="49"/>
      <c r="I9" s="49">
        <f t="shared" ref="I9:I13" si="1">D9+F9</f>
        <v>5784700</v>
      </c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28" ht="25.5" x14ac:dyDescent="0.2">
      <c r="A10" s="1">
        <v>3</v>
      </c>
      <c r="B10" s="59" t="s">
        <v>223</v>
      </c>
      <c r="C10" s="49">
        <v>0</v>
      </c>
      <c r="D10" s="48">
        <v>1000000</v>
      </c>
      <c r="E10" s="49"/>
      <c r="F10" s="49"/>
      <c r="G10" s="49">
        <f t="shared" si="0"/>
        <v>0</v>
      </c>
      <c r="H10" s="49"/>
      <c r="I10" s="49">
        <f>D10+F10</f>
        <v>1000000</v>
      </c>
      <c r="J10" s="4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51" x14ac:dyDescent="0.2">
      <c r="A11" s="1">
        <v>4</v>
      </c>
      <c r="B11" s="59" t="s">
        <v>325</v>
      </c>
      <c r="C11" s="48">
        <f>1200000+800000+11650000</f>
        <v>13650000</v>
      </c>
      <c r="D11" s="48">
        <f>17524655+500000</f>
        <v>18024655</v>
      </c>
      <c r="E11" s="48"/>
      <c r="F11" s="48"/>
      <c r="G11" s="49">
        <f t="shared" si="0"/>
        <v>13650000</v>
      </c>
      <c r="H11" s="49"/>
      <c r="I11" s="49">
        <f t="shared" si="1"/>
        <v>18024655</v>
      </c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ht="25.5" x14ac:dyDescent="0.2">
      <c r="A12" s="1">
        <v>5</v>
      </c>
      <c r="B12" s="59" t="s">
        <v>255</v>
      </c>
      <c r="C12" s="48">
        <v>1270000</v>
      </c>
      <c r="D12" s="48">
        <f t="shared" ref="D12" si="2">C12</f>
        <v>1270000</v>
      </c>
      <c r="E12" s="48"/>
      <c r="F12" s="48"/>
      <c r="G12" s="49">
        <f t="shared" si="0"/>
        <v>1270000</v>
      </c>
      <c r="H12" s="49"/>
      <c r="I12" s="49">
        <f t="shared" si="1"/>
        <v>1270000</v>
      </c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ht="25.5" x14ac:dyDescent="0.2">
      <c r="A13" s="1">
        <v>6</v>
      </c>
      <c r="B13" s="59" t="s">
        <v>318</v>
      </c>
      <c r="C13" s="48"/>
      <c r="D13" s="48">
        <v>2177228</v>
      </c>
      <c r="E13" s="48"/>
      <c r="F13" s="48"/>
      <c r="G13" s="49">
        <f t="shared" si="0"/>
        <v>0</v>
      </c>
      <c r="H13" s="49"/>
      <c r="I13" s="49">
        <f t="shared" si="1"/>
        <v>2177228</v>
      </c>
      <c r="J13" s="49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ht="16.5" x14ac:dyDescent="0.2">
      <c r="A14" s="1">
        <v>7</v>
      </c>
      <c r="B14" s="44" t="s">
        <v>220</v>
      </c>
      <c r="C14" s="51">
        <f>SUM(C8:C13)</f>
        <v>24520000</v>
      </c>
      <c r="D14" s="51">
        <f>SUM(D8:D13)</f>
        <v>28256583</v>
      </c>
      <c r="E14" s="51">
        <f>SUM(E8:E13)</f>
        <v>0</v>
      </c>
      <c r="F14" s="51">
        <f>SUM(F8:F13)</f>
        <v>0</v>
      </c>
      <c r="G14" s="51">
        <f>SUM(G8:G13)</f>
        <v>24520000</v>
      </c>
      <c r="H14" s="51">
        <f>SUM(H8:H11)</f>
        <v>0</v>
      </c>
      <c r="I14" s="51">
        <f>SUM(I8:I13)</f>
        <v>28256583</v>
      </c>
      <c r="J14" s="51">
        <f>SUM(J8:J11)</f>
        <v>0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53"/>
      <c r="Z14" s="54"/>
      <c r="AA14" s="54"/>
      <c r="AB14" s="54"/>
    </row>
    <row r="15" spans="1:28" ht="16.5" x14ac:dyDescent="0.2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8" spans="1:28" ht="60" x14ac:dyDescent="0.2">
      <c r="B18" s="47" t="s">
        <v>0</v>
      </c>
      <c r="C18" s="41" t="s">
        <v>1</v>
      </c>
      <c r="D18" s="41" t="s">
        <v>59</v>
      </c>
      <c r="E18" s="41" t="s">
        <v>217</v>
      </c>
      <c r="F18" s="41" t="s">
        <v>218</v>
      </c>
      <c r="G18" s="4" t="s">
        <v>63</v>
      </c>
      <c r="H18" s="4" t="s">
        <v>64</v>
      </c>
      <c r="I18" s="4" t="s">
        <v>66</v>
      </c>
      <c r="J18" s="4" t="s">
        <v>67</v>
      </c>
    </row>
    <row r="19" spans="1:28" ht="14.25" x14ac:dyDescent="0.2">
      <c r="B19" s="41" t="s">
        <v>5</v>
      </c>
      <c r="C19" s="41" t="s">
        <v>6</v>
      </c>
      <c r="D19" s="41" t="s">
        <v>7</v>
      </c>
      <c r="E19" s="41" t="s">
        <v>8</v>
      </c>
      <c r="F19" s="41" t="s">
        <v>73</v>
      </c>
      <c r="G19" s="41" t="s">
        <v>10</v>
      </c>
      <c r="H19" s="41" t="s">
        <v>11</v>
      </c>
      <c r="I19" s="41" t="s">
        <v>12</v>
      </c>
      <c r="J19" s="41" t="s">
        <v>13</v>
      </c>
    </row>
    <row r="20" spans="1:28" ht="16.5" x14ac:dyDescent="0.2">
      <c r="A20" s="1">
        <v>1</v>
      </c>
      <c r="B20" s="173" t="s">
        <v>326</v>
      </c>
      <c r="C20" s="55">
        <v>12478000</v>
      </c>
      <c r="D20" s="55">
        <v>12051534</v>
      </c>
      <c r="E20" s="41"/>
      <c r="F20" s="41"/>
      <c r="G20" s="174">
        <f>C20+E20</f>
        <v>12478000</v>
      </c>
      <c r="H20" s="41"/>
      <c r="I20" s="174">
        <f>D20+F20</f>
        <v>12051534</v>
      </c>
      <c r="J20" s="41"/>
    </row>
    <row r="21" spans="1:28" ht="16.5" x14ac:dyDescent="0.2">
      <c r="A21" s="1">
        <v>2</v>
      </c>
      <c r="B21" s="173" t="s">
        <v>327</v>
      </c>
      <c r="C21" s="55">
        <v>0</v>
      </c>
      <c r="D21" s="55">
        <v>1392201</v>
      </c>
      <c r="E21" s="55"/>
      <c r="F21" s="55"/>
      <c r="G21" s="174">
        <f t="shared" ref="G21:G26" si="3">C21+E21</f>
        <v>0</v>
      </c>
      <c r="H21" s="49"/>
      <c r="I21" s="174">
        <f t="shared" ref="I21:I26" si="4">D21+F21</f>
        <v>1392201</v>
      </c>
      <c r="J21" s="49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28.5" x14ac:dyDescent="0.2">
      <c r="A22" s="1">
        <v>3</v>
      </c>
      <c r="B22" s="173" t="s">
        <v>328</v>
      </c>
      <c r="C22" s="55">
        <v>0</v>
      </c>
      <c r="D22" s="55">
        <v>7500000</v>
      </c>
      <c r="E22" s="55"/>
      <c r="F22" s="55"/>
      <c r="G22" s="174">
        <f t="shared" si="3"/>
        <v>0</v>
      </c>
      <c r="H22" s="49"/>
      <c r="I22" s="174">
        <f t="shared" si="4"/>
        <v>7500000</v>
      </c>
      <c r="J22" s="49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x14ac:dyDescent="0.2">
      <c r="A23" s="1">
        <v>4</v>
      </c>
      <c r="B23" s="173" t="s">
        <v>329</v>
      </c>
      <c r="C23" s="55">
        <v>0</v>
      </c>
      <c r="D23" s="55">
        <v>11834395</v>
      </c>
      <c r="E23" s="55"/>
      <c r="F23" s="55"/>
      <c r="G23" s="174">
        <f t="shared" si="3"/>
        <v>0</v>
      </c>
      <c r="H23" s="49"/>
      <c r="I23" s="174">
        <f t="shared" si="4"/>
        <v>11834395</v>
      </c>
      <c r="J23" s="49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28.5" x14ac:dyDescent="0.2">
      <c r="A24" s="1">
        <v>5</v>
      </c>
      <c r="B24" s="173" t="s">
        <v>330</v>
      </c>
      <c r="C24" s="55">
        <v>0</v>
      </c>
      <c r="D24" s="55">
        <v>-316045</v>
      </c>
      <c r="E24" s="55"/>
      <c r="F24" s="55"/>
      <c r="G24" s="174">
        <f t="shared" si="3"/>
        <v>0</v>
      </c>
      <c r="H24" s="49"/>
      <c r="I24" s="174">
        <f t="shared" si="4"/>
        <v>-316045</v>
      </c>
      <c r="J24" s="49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5" x14ac:dyDescent="0.2">
      <c r="A25" s="1">
        <v>6</v>
      </c>
      <c r="B25" s="173"/>
      <c r="C25" s="55">
        <v>0</v>
      </c>
      <c r="D25" s="55">
        <f t="shared" ref="D25:D26" si="5">C25</f>
        <v>0</v>
      </c>
      <c r="E25" s="55"/>
      <c r="F25" s="55"/>
      <c r="G25" s="174">
        <f t="shared" si="3"/>
        <v>0</v>
      </c>
      <c r="H25" s="49"/>
      <c r="I25" s="174">
        <f t="shared" si="4"/>
        <v>0</v>
      </c>
      <c r="J25" s="49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5" x14ac:dyDescent="0.2">
      <c r="A26" s="1">
        <v>7</v>
      </c>
      <c r="B26" s="173"/>
      <c r="C26" s="55">
        <v>0</v>
      </c>
      <c r="D26" s="55">
        <f t="shared" si="5"/>
        <v>0</v>
      </c>
      <c r="E26" s="55"/>
      <c r="F26" s="55"/>
      <c r="G26" s="174">
        <f t="shared" si="3"/>
        <v>0</v>
      </c>
      <c r="H26" s="49"/>
      <c r="I26" s="174">
        <f t="shared" si="4"/>
        <v>0</v>
      </c>
      <c r="J26" s="49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6.5" x14ac:dyDescent="0.2">
      <c r="A27" s="1">
        <v>8</v>
      </c>
      <c r="B27" s="44" t="s">
        <v>221</v>
      </c>
      <c r="C27" s="51">
        <f>SUM(C20:C26)</f>
        <v>12478000</v>
      </c>
      <c r="D27" s="51">
        <f>SUM(D20:D26)</f>
        <v>32462085</v>
      </c>
      <c r="E27" s="51">
        <f t="shared" ref="E27:J27" si="6">SUM(E20:E26)</f>
        <v>0</v>
      </c>
      <c r="F27" s="51">
        <f t="shared" si="6"/>
        <v>0</v>
      </c>
      <c r="G27" s="51">
        <f t="shared" si="6"/>
        <v>12478000</v>
      </c>
      <c r="H27" s="51">
        <f t="shared" si="6"/>
        <v>0</v>
      </c>
      <c r="I27" s="51">
        <f t="shared" si="6"/>
        <v>32462085</v>
      </c>
      <c r="J27" s="51">
        <f t="shared" si="6"/>
        <v>0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3"/>
      <c r="Y27" s="53"/>
      <c r="Z27" s="54"/>
      <c r="AA27" s="54"/>
      <c r="AB27" s="54"/>
    </row>
    <row r="29" spans="1:28" ht="18" x14ac:dyDescent="0.25">
      <c r="B29" s="57" t="s">
        <v>74</v>
      </c>
      <c r="C29" s="58">
        <f t="shared" ref="C29:J29" si="7">C27+C14</f>
        <v>36998000</v>
      </c>
      <c r="D29" s="58">
        <f t="shared" si="7"/>
        <v>60718668</v>
      </c>
      <c r="E29" s="58">
        <f t="shared" si="7"/>
        <v>0</v>
      </c>
      <c r="F29" s="58">
        <f t="shared" si="7"/>
        <v>0</v>
      </c>
      <c r="G29" s="58">
        <f t="shared" si="7"/>
        <v>36998000</v>
      </c>
      <c r="H29" s="58">
        <f t="shared" si="7"/>
        <v>0</v>
      </c>
      <c r="I29" s="58">
        <f>I27+I14</f>
        <v>60718668</v>
      </c>
      <c r="J29" s="58">
        <f t="shared" si="7"/>
        <v>0</v>
      </c>
    </row>
  </sheetData>
  <mergeCells count="2">
    <mergeCell ref="A3:J3"/>
    <mergeCell ref="G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"/>
  <sheetViews>
    <sheetView view="pageBreakPreview" topLeftCell="A16" zoomScaleNormal="75" zoomScaleSheetLayoutView="100" workbookViewId="0">
      <selection activeCell="D30" sqref="D30"/>
    </sheetView>
  </sheetViews>
  <sheetFormatPr defaultColWidth="9.140625" defaultRowHeight="12.75" x14ac:dyDescent="0.2"/>
  <cols>
    <col min="1" max="1" width="9.140625" style="1" customWidth="1"/>
    <col min="2" max="2" width="71.42578125" style="1" customWidth="1"/>
    <col min="3" max="3" width="18.85546875" style="1" customWidth="1"/>
    <col min="4" max="4" width="23.42578125" style="60" customWidth="1"/>
    <col min="5" max="5" width="21.85546875" style="1" customWidth="1"/>
    <col min="6" max="6" width="19.7109375" style="1" customWidth="1"/>
    <col min="7" max="16384" width="9.140625" style="1"/>
  </cols>
  <sheetData>
    <row r="1" spans="1:24" x14ac:dyDescent="0.2">
      <c r="B1" s="200" t="s">
        <v>301</v>
      </c>
      <c r="C1" s="200"/>
      <c r="D1" s="200"/>
      <c r="E1" s="200"/>
      <c r="F1" s="200"/>
    </row>
    <row r="2" spans="1:24" x14ac:dyDescent="0.2">
      <c r="B2" s="199"/>
      <c r="C2" s="199"/>
      <c r="D2" s="199"/>
      <c r="E2" s="199"/>
      <c r="F2" s="199"/>
    </row>
    <row r="3" spans="1:24" ht="20.25" x14ac:dyDescent="0.3">
      <c r="B3" s="176" t="s">
        <v>256</v>
      </c>
    </row>
    <row r="4" spans="1:24" x14ac:dyDescent="0.2">
      <c r="F4" s="1" t="s">
        <v>75</v>
      </c>
    </row>
    <row r="5" spans="1:24" ht="60" x14ac:dyDescent="0.2">
      <c r="B5" s="47" t="s">
        <v>0</v>
      </c>
      <c r="C5" s="41" t="s">
        <v>1</v>
      </c>
      <c r="D5" s="61" t="s">
        <v>59</v>
      </c>
      <c r="E5" s="4" t="s">
        <v>63</v>
      </c>
      <c r="F5" s="4" t="s">
        <v>66</v>
      </c>
    </row>
    <row r="6" spans="1:24" ht="14.25" x14ac:dyDescent="0.2">
      <c r="B6" s="41" t="s">
        <v>5</v>
      </c>
      <c r="C6" s="41" t="s">
        <v>6</v>
      </c>
      <c r="D6" s="61" t="s">
        <v>7</v>
      </c>
      <c r="E6" s="41" t="s">
        <v>8</v>
      </c>
      <c r="F6" s="41" t="s">
        <v>9</v>
      </c>
    </row>
    <row r="7" spans="1:24" ht="16.5" x14ac:dyDescent="0.2">
      <c r="A7" s="1">
        <v>1</v>
      </c>
      <c r="B7" s="6" t="s">
        <v>257</v>
      </c>
      <c r="C7" s="48">
        <v>45403400</v>
      </c>
      <c r="D7" s="48">
        <v>45403400</v>
      </c>
      <c r="E7" s="49">
        <f>C7</f>
        <v>45403400</v>
      </c>
      <c r="F7" s="49">
        <f>D7</f>
        <v>45403400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ht="16.5" x14ac:dyDescent="0.2">
      <c r="A8" s="1">
        <v>2</v>
      </c>
      <c r="B8" s="6" t="s">
        <v>76</v>
      </c>
      <c r="C8" s="48">
        <f>7012200+16549000+100000+8502725+8500000+226950</f>
        <v>40890875</v>
      </c>
      <c r="D8" s="48">
        <f>7012200+16549000+100000+8502725+8500000+226950</f>
        <v>40890875</v>
      </c>
      <c r="E8" s="49">
        <f t="shared" ref="E8:E18" si="0">C8</f>
        <v>40890875</v>
      </c>
      <c r="F8" s="49">
        <f t="shared" ref="F8:F12" si="1">D8</f>
        <v>40890875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16.5" x14ac:dyDescent="0.2">
      <c r="A9" s="1">
        <v>3</v>
      </c>
      <c r="B9" s="6" t="s">
        <v>187</v>
      </c>
      <c r="C9" s="49">
        <v>3374542</v>
      </c>
      <c r="D9" s="49">
        <v>3374542</v>
      </c>
      <c r="E9" s="49">
        <f t="shared" si="0"/>
        <v>3374542</v>
      </c>
      <c r="F9" s="49">
        <f t="shared" si="1"/>
        <v>3374542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4</v>
      </c>
      <c r="B10" s="6" t="s">
        <v>258</v>
      </c>
      <c r="C10" s="48">
        <v>230000</v>
      </c>
      <c r="D10" s="48">
        <v>6820000</v>
      </c>
      <c r="E10" s="49">
        <f>C10</f>
        <v>230000</v>
      </c>
      <c r="F10" s="49">
        <f>D10</f>
        <v>6820000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6" customHeight="1" x14ac:dyDescent="0.2">
      <c r="A11" s="1">
        <v>5</v>
      </c>
      <c r="B11" s="8" t="s">
        <v>124</v>
      </c>
      <c r="C11" s="51">
        <f>SUM(C7:C10)</f>
        <v>89898817</v>
      </c>
      <c r="D11" s="51">
        <f>SUM(D7:D10)</f>
        <v>96488817</v>
      </c>
      <c r="E11" s="51">
        <f t="shared" si="0"/>
        <v>89898817</v>
      </c>
      <c r="F11" s="51">
        <f t="shared" si="1"/>
        <v>96488817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0" x14ac:dyDescent="0.2">
      <c r="A12" s="1">
        <v>6</v>
      </c>
      <c r="B12" s="8" t="s">
        <v>125</v>
      </c>
      <c r="C12" s="51">
        <v>80907410</v>
      </c>
      <c r="D12" s="51">
        <v>77668540</v>
      </c>
      <c r="E12" s="51">
        <f t="shared" si="0"/>
        <v>80907410</v>
      </c>
      <c r="F12" s="51">
        <f t="shared" si="1"/>
        <v>77668540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8.5" x14ac:dyDescent="0.2">
      <c r="A13" s="1">
        <v>7</v>
      </c>
      <c r="B13" s="6" t="s">
        <v>259</v>
      </c>
      <c r="C13" s="49">
        <v>5011000</v>
      </c>
      <c r="D13" s="49">
        <v>5011000</v>
      </c>
      <c r="E13" s="49">
        <f t="shared" si="0"/>
        <v>5011000</v>
      </c>
      <c r="F13" s="49">
        <f t="shared" ref="F13:F24" si="2">D13</f>
        <v>5011000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6.5" x14ac:dyDescent="0.2">
      <c r="A14" s="1">
        <v>8</v>
      </c>
      <c r="B14" s="6" t="s">
        <v>126</v>
      </c>
      <c r="C14" s="49">
        <v>4797650</v>
      </c>
      <c r="D14" s="49">
        <v>5092890</v>
      </c>
      <c r="E14" s="49">
        <f t="shared" si="0"/>
        <v>4797650</v>
      </c>
      <c r="F14" s="49">
        <f t="shared" si="2"/>
        <v>5092890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6.5" x14ac:dyDescent="0.2">
      <c r="A15" s="1">
        <v>9</v>
      </c>
      <c r="B15" s="6" t="s">
        <v>319</v>
      </c>
      <c r="C15" s="49">
        <v>0</v>
      </c>
      <c r="D15" s="49">
        <v>857050</v>
      </c>
      <c r="E15" s="49">
        <f t="shared" si="0"/>
        <v>0</v>
      </c>
      <c r="F15" s="49">
        <f t="shared" si="2"/>
        <v>857050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6.5" x14ac:dyDescent="0.2">
      <c r="A16" s="1">
        <v>10</v>
      </c>
      <c r="B16" s="6" t="s">
        <v>260</v>
      </c>
      <c r="C16" s="49">
        <v>13981400</v>
      </c>
      <c r="D16" s="49">
        <v>13981400</v>
      </c>
      <c r="E16" s="49">
        <f t="shared" si="0"/>
        <v>13981400</v>
      </c>
      <c r="F16" s="49">
        <f t="shared" si="2"/>
        <v>13981400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6.5" x14ac:dyDescent="0.2">
      <c r="A17" s="1">
        <v>11</v>
      </c>
      <c r="B17" s="6" t="s">
        <v>240</v>
      </c>
      <c r="C17" s="48">
        <v>2726500</v>
      </c>
      <c r="D17" s="48">
        <v>2726500</v>
      </c>
      <c r="E17" s="49">
        <f t="shared" si="0"/>
        <v>2726500</v>
      </c>
      <c r="F17" s="49">
        <f t="shared" si="2"/>
        <v>2726500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6.5" x14ac:dyDescent="0.2">
      <c r="A18" s="1">
        <v>12</v>
      </c>
      <c r="B18" s="6" t="s">
        <v>188</v>
      </c>
      <c r="C18" s="48">
        <v>2864540</v>
      </c>
      <c r="D18" s="48">
        <v>3875300</v>
      </c>
      <c r="E18" s="49">
        <f t="shared" si="0"/>
        <v>2864540</v>
      </c>
      <c r="F18" s="49">
        <f t="shared" si="2"/>
        <v>3875300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30" x14ac:dyDescent="0.2">
      <c r="A19" s="1">
        <v>13</v>
      </c>
      <c r="B19" s="8" t="s">
        <v>77</v>
      </c>
      <c r="C19" s="51">
        <f>SUM(C13:C18)</f>
        <v>29381090</v>
      </c>
      <c r="D19" s="51">
        <f t="shared" ref="D19:E19" si="3">SUM(D13:D18)</f>
        <v>31544140</v>
      </c>
      <c r="E19" s="51">
        <f t="shared" si="3"/>
        <v>29381090</v>
      </c>
      <c r="F19" s="51">
        <f>SUM(F13:F18)</f>
        <v>31544140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 x14ac:dyDescent="0.2">
      <c r="A20" s="1">
        <v>14</v>
      </c>
      <c r="B20" s="6" t="s">
        <v>261</v>
      </c>
      <c r="C20" s="49">
        <v>5616624</v>
      </c>
      <c r="D20" s="49">
        <v>6048672</v>
      </c>
      <c r="E20" s="49">
        <f>C20</f>
        <v>5616624</v>
      </c>
      <c r="F20" s="49">
        <f>D20</f>
        <v>6048672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 x14ac:dyDescent="0.2">
      <c r="A21" s="1">
        <v>15</v>
      </c>
      <c r="B21" s="6" t="s">
        <v>262</v>
      </c>
      <c r="C21" s="48">
        <v>8366959</v>
      </c>
      <c r="D21" s="48">
        <v>10159401</v>
      </c>
      <c r="E21" s="49">
        <f>C21</f>
        <v>8366959</v>
      </c>
      <c r="F21" s="49">
        <f>D21</f>
        <v>10159401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30" customHeight="1" x14ac:dyDescent="0.2">
      <c r="A22" s="1">
        <v>16</v>
      </c>
      <c r="B22" s="8" t="s">
        <v>241</v>
      </c>
      <c r="C22" s="51">
        <f>SUM(C20:C21)</f>
        <v>13983583</v>
      </c>
      <c r="D22" s="51">
        <f>SUM(D20:D21)</f>
        <v>16208073</v>
      </c>
      <c r="E22" s="51">
        <f>SUM(E20:E21)</f>
        <v>13983583</v>
      </c>
      <c r="F22" s="51">
        <f>SUM(F20:F21)</f>
        <v>16208073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6.5" x14ac:dyDescent="0.2">
      <c r="A23" s="1">
        <v>17</v>
      </c>
      <c r="B23" s="6" t="s">
        <v>78</v>
      </c>
      <c r="C23" s="49">
        <v>4583123</v>
      </c>
      <c r="D23" s="49">
        <v>4583123</v>
      </c>
      <c r="E23" s="49">
        <f>C23</f>
        <v>4583123</v>
      </c>
      <c r="F23" s="49">
        <f>D23</f>
        <v>4583123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0" x14ac:dyDescent="0.2">
      <c r="A24" s="1">
        <v>18</v>
      </c>
      <c r="B24" s="8" t="s">
        <v>79</v>
      </c>
      <c r="C24" s="51">
        <f>C23</f>
        <v>4583123</v>
      </c>
      <c r="D24" s="51">
        <f>D23</f>
        <v>4583123</v>
      </c>
      <c r="E24" s="51">
        <f>C24</f>
        <v>4583123</v>
      </c>
      <c r="F24" s="51">
        <f t="shared" si="2"/>
        <v>4583123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6.5" x14ac:dyDescent="0.2">
      <c r="A25" s="1">
        <v>19</v>
      </c>
      <c r="B25" s="44" t="s">
        <v>127</v>
      </c>
      <c r="C25" s="51">
        <f>C11+C12+C19+C22+C24</f>
        <v>218754023</v>
      </c>
      <c r="D25" s="51">
        <f>D11+D12+D19+D22+D24</f>
        <v>226492693</v>
      </c>
      <c r="E25" s="51">
        <f>E11+E12+E19+E22+E24</f>
        <v>218754023</v>
      </c>
      <c r="F25" s="51">
        <f>F11+F12+F19+F22+F24</f>
        <v>226492693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53"/>
      <c r="V25" s="54"/>
      <c r="W25" s="54"/>
      <c r="X25" s="54"/>
    </row>
    <row r="26" spans="1:24" ht="16.5" x14ac:dyDescent="0.2">
      <c r="B26" s="188" t="s">
        <v>320</v>
      </c>
      <c r="C26" s="49"/>
      <c r="D26" s="49">
        <v>20558500</v>
      </c>
      <c r="E26" s="49"/>
      <c r="F26" s="49">
        <f>D26</f>
        <v>20558500</v>
      </c>
    </row>
    <row r="27" spans="1:24" ht="16.5" x14ac:dyDescent="0.2">
      <c r="B27" s="188" t="s">
        <v>321</v>
      </c>
      <c r="C27" s="49"/>
      <c r="D27" s="49">
        <v>1573530</v>
      </c>
      <c r="E27" s="49"/>
      <c r="F27" s="49">
        <f t="shared" ref="F27:F30" si="4">D27</f>
        <v>1573530</v>
      </c>
    </row>
    <row r="28" spans="1:24" ht="30" x14ac:dyDescent="0.2">
      <c r="B28" s="189" t="s">
        <v>322</v>
      </c>
      <c r="C28" s="49"/>
      <c r="D28" s="49">
        <v>11602277</v>
      </c>
      <c r="E28" s="49"/>
      <c r="F28" s="49">
        <f t="shared" si="4"/>
        <v>11602277</v>
      </c>
    </row>
    <row r="29" spans="1:24" ht="16.5" x14ac:dyDescent="0.2">
      <c r="B29" s="189" t="s">
        <v>323</v>
      </c>
      <c r="C29" s="49"/>
      <c r="D29" s="49">
        <v>324036</v>
      </c>
      <c r="E29" s="49"/>
      <c r="F29" s="49">
        <f t="shared" si="4"/>
        <v>324036</v>
      </c>
    </row>
    <row r="30" spans="1:24" ht="16.5" x14ac:dyDescent="0.2">
      <c r="B30" s="189" t="s">
        <v>324</v>
      </c>
      <c r="C30" s="49"/>
      <c r="D30" s="49">
        <v>16080064</v>
      </c>
      <c r="E30" s="49"/>
      <c r="F30" s="49">
        <f t="shared" si="4"/>
        <v>16080064</v>
      </c>
    </row>
    <row r="31" spans="1:24" ht="16.5" x14ac:dyDescent="0.2">
      <c r="B31" s="44" t="s">
        <v>127</v>
      </c>
      <c r="C31" s="51">
        <f>SUM(C25:C30)</f>
        <v>218754023</v>
      </c>
      <c r="D31" s="51">
        <f t="shared" ref="D31:F31" si="5">SUM(D25:D30)</f>
        <v>276631100</v>
      </c>
      <c r="E31" s="51">
        <f t="shared" si="5"/>
        <v>218754023</v>
      </c>
      <c r="F31" s="51">
        <f t="shared" si="5"/>
        <v>276631100</v>
      </c>
    </row>
  </sheetData>
  <mergeCells count="2">
    <mergeCell ref="B1:F1"/>
    <mergeCell ref="B2:F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view="pageBreakPreview" topLeftCell="B1" zoomScaleSheetLayoutView="100" workbookViewId="0">
      <selection activeCell="E10" sqref="E10"/>
    </sheetView>
  </sheetViews>
  <sheetFormatPr defaultColWidth="9.140625" defaultRowHeight="12.75" x14ac:dyDescent="0.2"/>
  <cols>
    <col min="1" max="1" width="9.140625" style="1" customWidth="1"/>
    <col min="2" max="2" width="35.85546875" style="1" customWidth="1"/>
    <col min="3" max="3" width="17.28515625" style="1" customWidth="1"/>
    <col min="4" max="4" width="18" style="60" customWidth="1"/>
    <col min="5" max="5" width="19.85546875" style="1" customWidth="1"/>
    <col min="6" max="6" width="20" style="1" customWidth="1"/>
    <col min="7" max="7" width="37.5703125" style="18" customWidth="1"/>
    <col min="8" max="8" width="12.85546875" style="1" customWidth="1"/>
    <col min="9" max="9" width="13.5703125" style="1" customWidth="1"/>
    <col min="10" max="10" width="20.7109375" style="1" customWidth="1"/>
    <col min="11" max="11" width="18" style="1" customWidth="1"/>
    <col min="12" max="16384" width="9.140625" style="1"/>
  </cols>
  <sheetData>
    <row r="1" spans="1:7" x14ac:dyDescent="0.2">
      <c r="D1" s="63"/>
    </row>
    <row r="2" spans="1:7" x14ac:dyDescent="0.2">
      <c r="B2" s="200" t="s">
        <v>302</v>
      </c>
      <c r="C2" s="200"/>
      <c r="D2" s="200"/>
      <c r="E2" s="200"/>
      <c r="F2" s="200"/>
    </row>
    <row r="3" spans="1:7" x14ac:dyDescent="0.2">
      <c r="B3" s="199"/>
      <c r="C3" s="199"/>
      <c r="D3" s="199"/>
      <c r="E3" s="199"/>
      <c r="F3" s="199"/>
      <c r="G3" s="1"/>
    </row>
    <row r="4" spans="1:7" ht="20.25" x14ac:dyDescent="0.3">
      <c r="B4" s="176" t="s">
        <v>263</v>
      </c>
    </row>
    <row r="5" spans="1:7" x14ac:dyDescent="0.2">
      <c r="F5" s="1" t="s">
        <v>75</v>
      </c>
    </row>
    <row r="6" spans="1:7" ht="25.5" x14ac:dyDescent="0.2">
      <c r="B6" s="64" t="s">
        <v>0</v>
      </c>
      <c r="C6" s="65" t="s">
        <v>82</v>
      </c>
      <c r="D6" s="66" t="s">
        <v>83</v>
      </c>
      <c r="E6" s="65" t="s">
        <v>84</v>
      </c>
      <c r="F6" s="65" t="s">
        <v>85</v>
      </c>
    </row>
    <row r="7" spans="1:7" x14ac:dyDescent="0.2">
      <c r="B7" s="67" t="s">
        <v>5</v>
      </c>
      <c r="C7" s="67" t="s">
        <v>6</v>
      </c>
      <c r="D7" s="68" t="s">
        <v>7</v>
      </c>
      <c r="E7" s="67" t="s">
        <v>8</v>
      </c>
      <c r="F7" s="67" t="s">
        <v>9</v>
      </c>
    </row>
    <row r="8" spans="1:7" ht="50.25" customHeight="1" x14ac:dyDescent="0.2">
      <c r="A8" s="1">
        <v>1</v>
      </c>
      <c r="B8" s="145" t="s">
        <v>265</v>
      </c>
      <c r="C8" s="70">
        <v>834789617</v>
      </c>
      <c r="D8" s="70">
        <v>834789617</v>
      </c>
      <c r="E8" s="70">
        <f>D8-C8</f>
        <v>0</v>
      </c>
      <c r="F8" s="71" t="s">
        <v>266</v>
      </c>
    </row>
    <row r="9" spans="1:7" ht="50.25" customHeight="1" x14ac:dyDescent="0.2">
      <c r="A9" s="1">
        <v>2</v>
      </c>
      <c r="B9" s="145" t="s">
        <v>242</v>
      </c>
      <c r="C9" s="70">
        <v>242942500</v>
      </c>
      <c r="D9" s="70">
        <v>254560995</v>
      </c>
      <c r="E9" s="70">
        <f>139065+399000+10304621</f>
        <v>10842686</v>
      </c>
      <c r="F9" s="71" t="s">
        <v>267</v>
      </c>
    </row>
    <row r="10" spans="1:7" ht="50.25" customHeight="1" x14ac:dyDescent="0.2">
      <c r="A10" s="1">
        <v>3</v>
      </c>
      <c r="B10" s="145" t="s">
        <v>264</v>
      </c>
      <c r="C10" s="70">
        <v>92820000</v>
      </c>
      <c r="D10" s="70">
        <f>C10+25410000</f>
        <v>118230000</v>
      </c>
      <c r="E10" s="70">
        <v>25410000</v>
      </c>
      <c r="F10" s="71" t="s">
        <v>267</v>
      </c>
    </row>
    <row r="11" spans="1:7" x14ac:dyDescent="0.2">
      <c r="A11" s="1">
        <v>4</v>
      </c>
      <c r="B11" s="69" t="s">
        <v>81</v>
      </c>
      <c r="C11" s="72">
        <f>SUM(C8:C10)</f>
        <v>1170552117</v>
      </c>
      <c r="D11" s="72">
        <f t="shared" ref="D11:E11" si="0">SUM(D8:D10)</f>
        <v>1207580612</v>
      </c>
      <c r="E11" s="72">
        <f t="shared" si="0"/>
        <v>36252686</v>
      </c>
      <c r="F11" s="72"/>
    </row>
    <row r="13" spans="1:7" x14ac:dyDescent="0.2">
      <c r="C13" s="18"/>
      <c r="E13" s="73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3"/>
  <sheetViews>
    <sheetView tabSelected="1" view="pageBreakPreview" zoomScale="60" zoomScaleNormal="60" workbookViewId="0">
      <selection activeCell="Q11" sqref="Q11"/>
    </sheetView>
  </sheetViews>
  <sheetFormatPr defaultColWidth="9.140625" defaultRowHeight="12.75" x14ac:dyDescent="0.2"/>
  <cols>
    <col min="1" max="1" width="9.140625" style="1" customWidth="1"/>
    <col min="2" max="2" width="45.42578125" style="1" customWidth="1"/>
    <col min="3" max="3" width="22.140625" style="74" customWidth="1"/>
    <col min="4" max="4" width="22.42578125" style="74" customWidth="1"/>
    <col min="5" max="5" width="20.28515625" style="74" customWidth="1"/>
    <col min="6" max="6" width="19.7109375" style="74" customWidth="1"/>
    <col min="7" max="7" width="18.42578125" style="74" customWidth="1"/>
    <col min="8" max="8" width="18.140625" style="74" customWidth="1"/>
    <col min="9" max="9" width="21.28515625" style="74" customWidth="1"/>
    <col min="10" max="10" width="21.7109375" style="74" customWidth="1"/>
    <col min="11" max="11" width="22.42578125" style="74" customWidth="1"/>
    <col min="12" max="12" width="18.140625" style="74" customWidth="1"/>
    <col min="13" max="13" width="21.42578125" style="74" customWidth="1"/>
    <col min="14" max="14" width="18.140625" style="74" customWidth="1"/>
    <col min="15" max="16384" width="9.140625" style="1"/>
  </cols>
  <sheetData>
    <row r="1" spans="1:14" x14ac:dyDescent="0.2">
      <c r="B1" s="200" t="s">
        <v>303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7.75" x14ac:dyDescent="0.4">
      <c r="B2" s="179" t="s">
        <v>268</v>
      </c>
      <c r="J2" s="200"/>
      <c r="K2" s="200"/>
      <c r="L2" s="200"/>
      <c r="M2" s="200"/>
      <c r="N2" s="200"/>
    </row>
    <row r="3" spans="1:14" hidden="1" x14ac:dyDescent="0.2"/>
    <row r="4" spans="1:14" ht="20.25" x14ac:dyDescent="0.3">
      <c r="B4" s="37"/>
      <c r="J4" s="200"/>
      <c r="K4" s="200"/>
      <c r="L4" s="200"/>
      <c r="M4" s="200"/>
      <c r="N4" s="200"/>
    </row>
    <row r="6" spans="1:14" x14ac:dyDescent="0.2">
      <c r="B6" s="14" t="s">
        <v>86</v>
      </c>
      <c r="M6" s="1" t="s">
        <v>75</v>
      </c>
    </row>
    <row r="7" spans="1:14" ht="60" x14ac:dyDescent="0.2">
      <c r="B7" s="75" t="s">
        <v>0</v>
      </c>
      <c r="C7" s="41" t="s">
        <v>1</v>
      </c>
      <c r="D7" s="41" t="s">
        <v>71</v>
      </c>
      <c r="E7" s="41" t="s">
        <v>2</v>
      </c>
      <c r="F7" s="41" t="s">
        <v>92</v>
      </c>
      <c r="G7" s="41" t="s">
        <v>65</v>
      </c>
      <c r="H7" s="41" t="s">
        <v>93</v>
      </c>
      <c r="I7" s="4" t="s">
        <v>3</v>
      </c>
      <c r="J7" s="4" t="s">
        <v>4</v>
      </c>
      <c r="K7" s="4" t="s">
        <v>63</v>
      </c>
      <c r="L7" s="4" t="s">
        <v>64</v>
      </c>
      <c r="M7" s="4" t="s">
        <v>66</v>
      </c>
      <c r="N7" s="4" t="s">
        <v>67</v>
      </c>
    </row>
    <row r="8" spans="1:14" ht="15" x14ac:dyDescent="0.2">
      <c r="B8" s="76" t="s">
        <v>5</v>
      </c>
      <c r="C8" s="76" t="s">
        <v>6</v>
      </c>
      <c r="D8" s="76" t="s">
        <v>7</v>
      </c>
      <c r="E8" s="76" t="s">
        <v>8</v>
      </c>
      <c r="F8" s="76" t="s">
        <v>9</v>
      </c>
      <c r="G8" s="76" t="s">
        <v>10</v>
      </c>
      <c r="H8" s="76" t="s">
        <v>11</v>
      </c>
      <c r="I8" s="76" t="s">
        <v>12</v>
      </c>
      <c r="J8" s="76" t="s">
        <v>13</v>
      </c>
      <c r="K8" s="76" t="s">
        <v>14</v>
      </c>
      <c r="L8" s="76" t="s">
        <v>15</v>
      </c>
      <c r="M8" s="76" t="s">
        <v>16</v>
      </c>
      <c r="N8" s="76" t="s">
        <v>178</v>
      </c>
    </row>
    <row r="9" spans="1:14" ht="18" x14ac:dyDescent="0.25">
      <c r="A9" s="1">
        <v>1</v>
      </c>
      <c r="B9" s="162" t="s">
        <v>269</v>
      </c>
      <c r="C9" s="161">
        <v>127000000</v>
      </c>
      <c r="D9" s="161">
        <f>92543539+850500</f>
        <v>93394039</v>
      </c>
      <c r="E9" s="90"/>
      <c r="F9" s="90"/>
      <c r="G9" s="90"/>
      <c r="H9" s="90"/>
      <c r="I9" s="90">
        <f t="shared" ref="I9:J32" si="0">C9+E9+G9</f>
        <v>127000000</v>
      </c>
      <c r="J9" s="90">
        <f t="shared" ref="J9:J28" si="1">D9+F9+H9</f>
        <v>93394039</v>
      </c>
      <c r="K9" s="90">
        <f t="shared" ref="K9:K34" si="2">C9+E9+G9</f>
        <v>127000000</v>
      </c>
      <c r="L9" s="90"/>
      <c r="M9" s="90">
        <f t="shared" ref="M9:M34" si="3">D9+F9+H9</f>
        <v>93394039</v>
      </c>
      <c r="N9" s="90"/>
    </row>
    <row r="10" spans="1:14" ht="36.75" customHeight="1" x14ac:dyDescent="0.25">
      <c r="A10" s="1">
        <v>2</v>
      </c>
      <c r="B10" s="162" t="s">
        <v>271</v>
      </c>
      <c r="C10" s="161">
        <f>9500000/1.27</f>
        <v>7480314.9606299214</v>
      </c>
      <c r="D10" s="161">
        <v>7470000</v>
      </c>
      <c r="E10" s="90"/>
      <c r="F10" s="90"/>
      <c r="G10" s="90"/>
      <c r="H10" s="90"/>
      <c r="I10" s="90">
        <f t="shared" si="0"/>
        <v>7480314.9606299214</v>
      </c>
      <c r="J10" s="90">
        <f t="shared" si="1"/>
        <v>7470000</v>
      </c>
      <c r="K10" s="90">
        <f t="shared" si="2"/>
        <v>7480314.9606299214</v>
      </c>
      <c r="L10" s="90"/>
      <c r="M10" s="90">
        <f t="shared" si="3"/>
        <v>7470000</v>
      </c>
      <c r="N10" s="90"/>
    </row>
    <row r="11" spans="1:14" ht="36.75" customHeight="1" x14ac:dyDescent="0.25">
      <c r="A11" s="1">
        <v>3</v>
      </c>
      <c r="B11" s="162" t="s">
        <v>272</v>
      </c>
      <c r="C11" s="161">
        <f>25000000/1.27</f>
        <v>19685039.370078739</v>
      </c>
      <c r="D11" s="161">
        <v>0</v>
      </c>
      <c r="E11" s="90"/>
      <c r="F11" s="90"/>
      <c r="G11" s="90"/>
      <c r="H11" s="90"/>
      <c r="I11" s="90">
        <f t="shared" si="0"/>
        <v>19685039.370078739</v>
      </c>
      <c r="J11" s="90">
        <f t="shared" si="1"/>
        <v>0</v>
      </c>
      <c r="K11" s="90">
        <f t="shared" si="2"/>
        <v>19685039.370078739</v>
      </c>
      <c r="L11" s="90"/>
      <c r="M11" s="90">
        <f t="shared" si="3"/>
        <v>0</v>
      </c>
      <c r="N11" s="90"/>
    </row>
    <row r="12" spans="1:14" ht="36.75" customHeight="1" x14ac:dyDescent="0.25">
      <c r="A12" s="1">
        <v>4</v>
      </c>
      <c r="B12" s="162" t="s">
        <v>243</v>
      </c>
      <c r="C12" s="161">
        <v>3500000</v>
      </c>
      <c r="D12" s="161">
        <v>3897840</v>
      </c>
      <c r="E12" s="90"/>
      <c r="F12" s="90"/>
      <c r="G12" s="90"/>
      <c r="H12" s="90"/>
      <c r="I12" s="90">
        <f t="shared" si="0"/>
        <v>3500000</v>
      </c>
      <c r="J12" s="90">
        <f t="shared" si="1"/>
        <v>3897840</v>
      </c>
      <c r="K12" s="90">
        <f t="shared" si="2"/>
        <v>3500000</v>
      </c>
      <c r="L12" s="90"/>
      <c r="M12" s="90">
        <f t="shared" si="3"/>
        <v>3897840</v>
      </c>
      <c r="N12" s="90"/>
    </row>
    <row r="13" spans="1:14" ht="36.75" customHeight="1" x14ac:dyDescent="0.25">
      <c r="A13" s="1">
        <v>5</v>
      </c>
      <c r="B13" s="160" t="s">
        <v>275</v>
      </c>
      <c r="C13" s="161">
        <f>7000000/1.27</f>
        <v>5511811.0236220472</v>
      </c>
      <c r="D13" s="161">
        <v>540000</v>
      </c>
      <c r="E13" s="90"/>
      <c r="F13" s="90"/>
      <c r="G13" s="90"/>
      <c r="H13" s="90"/>
      <c r="I13" s="90">
        <f t="shared" si="0"/>
        <v>5511811.0236220472</v>
      </c>
      <c r="J13" s="90">
        <f t="shared" si="1"/>
        <v>540000</v>
      </c>
      <c r="K13" s="90">
        <f t="shared" si="2"/>
        <v>5511811.0236220472</v>
      </c>
      <c r="L13" s="90"/>
      <c r="M13" s="90">
        <f t="shared" si="3"/>
        <v>540000</v>
      </c>
      <c r="N13" s="90"/>
    </row>
    <row r="14" spans="1:14" ht="36.75" customHeight="1" x14ac:dyDescent="0.25">
      <c r="A14" s="1">
        <v>6</v>
      </c>
      <c r="B14" s="160" t="s">
        <v>276</v>
      </c>
      <c r="C14" s="161">
        <f>2000000/1.27</f>
        <v>1574803.1496062991</v>
      </c>
      <c r="D14" s="161">
        <v>1910000</v>
      </c>
      <c r="E14" s="90"/>
      <c r="F14" s="90"/>
      <c r="G14" s="90"/>
      <c r="H14" s="90"/>
      <c r="I14" s="90">
        <f t="shared" si="0"/>
        <v>1574803.1496062991</v>
      </c>
      <c r="J14" s="90">
        <f t="shared" si="1"/>
        <v>1910000</v>
      </c>
      <c r="K14" s="90">
        <f t="shared" si="2"/>
        <v>1574803.1496062991</v>
      </c>
      <c r="L14" s="90"/>
      <c r="M14" s="90">
        <f t="shared" si="3"/>
        <v>1910000</v>
      </c>
      <c r="N14" s="90"/>
    </row>
    <row r="15" spans="1:14" ht="18" x14ac:dyDescent="0.25">
      <c r="A15" s="1">
        <v>7</v>
      </c>
      <c r="B15" s="162" t="s">
        <v>277</v>
      </c>
      <c r="C15" s="161">
        <f>5000000/1.27</f>
        <v>3937007.874015748</v>
      </c>
      <c r="D15" s="161">
        <v>5080000</v>
      </c>
      <c r="E15" s="90"/>
      <c r="F15" s="90"/>
      <c r="G15" s="90"/>
      <c r="H15" s="90"/>
      <c r="I15" s="90">
        <f t="shared" si="0"/>
        <v>3937007.874015748</v>
      </c>
      <c r="J15" s="90">
        <f t="shared" si="1"/>
        <v>5080000</v>
      </c>
      <c r="K15" s="90">
        <f t="shared" si="2"/>
        <v>3937007.874015748</v>
      </c>
      <c r="L15" s="90"/>
      <c r="M15" s="90">
        <f t="shared" si="3"/>
        <v>5080000</v>
      </c>
      <c r="N15" s="90"/>
    </row>
    <row r="16" spans="1:14" ht="18" x14ac:dyDescent="0.25">
      <c r="A16" s="1">
        <v>8</v>
      </c>
      <c r="B16" s="162" t="s">
        <v>278</v>
      </c>
      <c r="C16" s="161">
        <f>2500000/1.27</f>
        <v>1968503.937007874</v>
      </c>
      <c r="D16" s="161">
        <v>1142435</v>
      </c>
      <c r="E16" s="161"/>
      <c r="F16" s="161"/>
      <c r="G16" s="90"/>
      <c r="H16" s="90"/>
      <c r="I16" s="90">
        <f t="shared" si="0"/>
        <v>1968503.937007874</v>
      </c>
      <c r="J16" s="90">
        <f t="shared" si="1"/>
        <v>1142435</v>
      </c>
      <c r="K16" s="90">
        <f t="shared" si="2"/>
        <v>1968503.937007874</v>
      </c>
      <c r="L16" s="90"/>
      <c r="M16" s="90">
        <f t="shared" si="3"/>
        <v>1142435</v>
      </c>
      <c r="N16" s="90"/>
    </row>
    <row r="17" spans="1:14" ht="36" x14ac:dyDescent="0.25">
      <c r="A17" s="1">
        <v>9</v>
      </c>
      <c r="B17" s="162" t="s">
        <v>331</v>
      </c>
      <c r="C17" s="161"/>
      <c r="D17" s="161">
        <v>14731659</v>
      </c>
      <c r="E17" s="161"/>
      <c r="F17" s="161"/>
      <c r="G17" s="90"/>
      <c r="H17" s="90"/>
      <c r="I17" s="90">
        <f t="shared" si="0"/>
        <v>0</v>
      </c>
      <c r="J17" s="90">
        <f t="shared" si="1"/>
        <v>14731659</v>
      </c>
      <c r="K17" s="90">
        <f t="shared" si="2"/>
        <v>0</v>
      </c>
      <c r="L17" s="90"/>
      <c r="M17" s="90">
        <f t="shared" si="3"/>
        <v>14731659</v>
      </c>
      <c r="N17" s="90"/>
    </row>
    <row r="18" spans="1:14" ht="18" x14ac:dyDescent="0.25">
      <c r="A18" s="1">
        <v>10</v>
      </c>
      <c r="B18" s="162" t="s">
        <v>332</v>
      </c>
      <c r="C18" s="161"/>
      <c r="D18" s="161">
        <v>3042500</v>
      </c>
      <c r="E18" s="161"/>
      <c r="F18" s="161"/>
      <c r="G18" s="90"/>
      <c r="H18" s="90"/>
      <c r="I18" s="90">
        <f t="shared" si="0"/>
        <v>0</v>
      </c>
      <c r="J18" s="90">
        <f t="shared" si="1"/>
        <v>3042500</v>
      </c>
      <c r="K18" s="90">
        <f t="shared" si="2"/>
        <v>0</v>
      </c>
      <c r="L18" s="90"/>
      <c r="M18" s="90">
        <f t="shared" si="3"/>
        <v>3042500</v>
      </c>
      <c r="N18" s="90"/>
    </row>
    <row r="19" spans="1:14" ht="18" x14ac:dyDescent="0.25">
      <c r="A19" s="1">
        <v>11</v>
      </c>
      <c r="B19" s="162" t="s">
        <v>333</v>
      </c>
      <c r="C19" s="161"/>
      <c r="D19" s="161">
        <v>589900</v>
      </c>
      <c r="E19" s="161"/>
      <c r="F19" s="161"/>
      <c r="G19" s="90"/>
      <c r="H19" s="90"/>
      <c r="I19" s="90">
        <f t="shared" si="0"/>
        <v>0</v>
      </c>
      <c r="J19" s="90">
        <f t="shared" si="1"/>
        <v>589900</v>
      </c>
      <c r="K19" s="90">
        <f t="shared" si="2"/>
        <v>0</v>
      </c>
      <c r="L19" s="90"/>
      <c r="M19" s="90">
        <f t="shared" si="3"/>
        <v>589900</v>
      </c>
      <c r="N19" s="90"/>
    </row>
    <row r="20" spans="1:14" ht="18" x14ac:dyDescent="0.25">
      <c r="A20" s="1">
        <v>12</v>
      </c>
      <c r="B20" s="162"/>
      <c r="C20" s="161"/>
      <c r="D20" s="161"/>
      <c r="E20" s="161"/>
      <c r="F20" s="161"/>
      <c r="G20" s="90"/>
      <c r="H20" s="90"/>
      <c r="I20" s="90">
        <f t="shared" si="0"/>
        <v>0</v>
      </c>
      <c r="J20" s="90">
        <f t="shared" si="1"/>
        <v>0</v>
      </c>
      <c r="K20" s="90">
        <f t="shared" si="2"/>
        <v>0</v>
      </c>
      <c r="L20" s="90"/>
      <c r="M20" s="90">
        <f t="shared" si="3"/>
        <v>0</v>
      </c>
      <c r="N20" s="90"/>
    </row>
    <row r="21" spans="1:14" ht="18" x14ac:dyDescent="0.25">
      <c r="A21" s="1">
        <v>13</v>
      </c>
      <c r="B21" s="162" t="s">
        <v>279</v>
      </c>
      <c r="C21" s="161"/>
      <c r="D21" s="161"/>
      <c r="E21" s="161">
        <v>500000</v>
      </c>
      <c r="F21" s="161">
        <v>418000</v>
      </c>
      <c r="G21" s="90"/>
      <c r="H21" s="90"/>
      <c r="I21" s="90">
        <f t="shared" si="0"/>
        <v>500000</v>
      </c>
      <c r="J21" s="90">
        <f t="shared" si="1"/>
        <v>418000</v>
      </c>
      <c r="K21" s="90">
        <f t="shared" si="2"/>
        <v>500000</v>
      </c>
      <c r="L21" s="90"/>
      <c r="M21" s="90">
        <f t="shared" si="3"/>
        <v>418000</v>
      </c>
      <c r="N21" s="90"/>
    </row>
    <row r="22" spans="1:14" ht="36" x14ac:dyDescent="0.25">
      <c r="A22" s="1">
        <v>14</v>
      </c>
      <c r="B22" s="162" t="s">
        <v>280</v>
      </c>
      <c r="C22" s="161"/>
      <c r="D22" s="161"/>
      <c r="E22" s="167">
        <v>500000</v>
      </c>
      <c r="F22" s="167">
        <v>153500</v>
      </c>
      <c r="G22" s="195"/>
      <c r="H22" s="195"/>
      <c r="I22" s="90">
        <f t="shared" si="0"/>
        <v>500000</v>
      </c>
      <c r="J22" s="90">
        <f t="shared" si="1"/>
        <v>153500</v>
      </c>
      <c r="K22" s="90">
        <f t="shared" si="2"/>
        <v>500000</v>
      </c>
      <c r="L22" s="90"/>
      <c r="M22" s="90">
        <f t="shared" si="3"/>
        <v>153500</v>
      </c>
      <c r="N22" s="90"/>
    </row>
    <row r="23" spans="1:14" ht="18" x14ac:dyDescent="0.25">
      <c r="A23" s="1">
        <v>15</v>
      </c>
      <c r="B23" s="162" t="s">
        <v>336</v>
      </c>
      <c r="C23" s="161"/>
      <c r="D23" s="194"/>
      <c r="E23" s="192">
        <v>0</v>
      </c>
      <c r="F23" s="192">
        <v>200000</v>
      </c>
      <c r="G23" s="90"/>
      <c r="H23" s="90"/>
      <c r="I23" s="90">
        <f t="shared" si="0"/>
        <v>0</v>
      </c>
      <c r="J23" s="90">
        <f t="shared" si="1"/>
        <v>200000</v>
      </c>
      <c r="K23" s="90">
        <f t="shared" si="2"/>
        <v>0</v>
      </c>
      <c r="L23" s="90"/>
      <c r="M23" s="90">
        <f t="shared" si="3"/>
        <v>200000</v>
      </c>
      <c r="N23" s="90"/>
    </row>
    <row r="24" spans="1:14" ht="18" x14ac:dyDescent="0.25">
      <c r="A24" s="1">
        <v>16</v>
      </c>
      <c r="B24" s="162" t="s">
        <v>337</v>
      </c>
      <c r="C24" s="161"/>
      <c r="D24" s="194"/>
      <c r="E24" s="192">
        <v>0</v>
      </c>
      <c r="F24" s="192">
        <v>808900</v>
      </c>
      <c r="G24" s="90"/>
      <c r="H24" s="90"/>
      <c r="I24" s="90">
        <f t="shared" si="0"/>
        <v>0</v>
      </c>
      <c r="J24" s="90">
        <f t="shared" si="1"/>
        <v>808900</v>
      </c>
      <c r="K24" s="90">
        <f t="shared" si="2"/>
        <v>0</v>
      </c>
      <c r="L24" s="90"/>
      <c r="M24" s="90">
        <f t="shared" si="3"/>
        <v>808900</v>
      </c>
      <c r="N24" s="90"/>
    </row>
    <row r="25" spans="1:14" ht="18" x14ac:dyDescent="0.25">
      <c r="A25" s="1">
        <v>17</v>
      </c>
      <c r="B25" s="162" t="s">
        <v>338</v>
      </c>
      <c r="C25" s="161"/>
      <c r="D25" s="194"/>
      <c r="E25" s="192">
        <v>0</v>
      </c>
      <c r="F25" s="192">
        <v>7484000</v>
      </c>
      <c r="G25" s="90"/>
      <c r="H25" s="90"/>
      <c r="I25" s="90">
        <f t="shared" si="0"/>
        <v>0</v>
      </c>
      <c r="J25" s="90">
        <f t="shared" si="1"/>
        <v>7484000</v>
      </c>
      <c r="K25" s="90">
        <f t="shared" si="2"/>
        <v>0</v>
      </c>
      <c r="L25" s="90"/>
      <c r="M25" s="90">
        <f t="shared" si="3"/>
        <v>7484000</v>
      </c>
      <c r="N25" s="90"/>
    </row>
    <row r="26" spans="1:14" ht="18" x14ac:dyDescent="0.25">
      <c r="A26" s="1">
        <v>18</v>
      </c>
      <c r="B26" s="162"/>
      <c r="C26" s="161"/>
      <c r="D26" s="194"/>
      <c r="E26" s="192"/>
      <c r="F26" s="192"/>
      <c r="G26" s="90"/>
      <c r="H26" s="90"/>
      <c r="I26" s="90">
        <f t="shared" si="0"/>
        <v>0</v>
      </c>
      <c r="J26" s="90">
        <f t="shared" si="1"/>
        <v>0</v>
      </c>
      <c r="K26" s="90">
        <f t="shared" si="2"/>
        <v>0</v>
      </c>
      <c r="L26" s="90"/>
      <c r="M26" s="90">
        <f t="shared" si="3"/>
        <v>0</v>
      </c>
      <c r="N26" s="90"/>
    </row>
    <row r="27" spans="1:14" ht="18" x14ac:dyDescent="0.25">
      <c r="A27" s="1">
        <v>19</v>
      </c>
      <c r="B27" s="162" t="s">
        <v>244</v>
      </c>
      <c r="C27" s="161"/>
      <c r="D27" s="194"/>
      <c r="E27" s="90"/>
      <c r="F27" s="90"/>
      <c r="G27" s="192">
        <v>200000</v>
      </c>
      <c r="H27" s="192">
        <v>174724</v>
      </c>
      <c r="I27" s="90">
        <f t="shared" si="0"/>
        <v>200000</v>
      </c>
      <c r="J27" s="90">
        <f t="shared" si="1"/>
        <v>174724</v>
      </c>
      <c r="K27" s="90">
        <f t="shared" si="2"/>
        <v>200000</v>
      </c>
      <c r="L27" s="90"/>
      <c r="M27" s="90">
        <f t="shared" si="3"/>
        <v>174724</v>
      </c>
      <c r="N27" s="90"/>
    </row>
    <row r="28" spans="1:14" ht="36" x14ac:dyDescent="0.25">
      <c r="A28" s="1">
        <v>20</v>
      </c>
      <c r="B28" s="162" t="s">
        <v>339</v>
      </c>
      <c r="C28" s="161"/>
      <c r="D28" s="194"/>
      <c r="E28" s="196"/>
      <c r="F28" s="196"/>
      <c r="G28" s="190">
        <v>0</v>
      </c>
      <c r="H28" s="192">
        <f>127552*2</f>
        <v>255104</v>
      </c>
      <c r="I28" s="90">
        <f t="shared" si="0"/>
        <v>0</v>
      </c>
      <c r="J28" s="90">
        <f t="shared" si="1"/>
        <v>255104</v>
      </c>
      <c r="K28" s="90">
        <f t="shared" si="2"/>
        <v>0</v>
      </c>
      <c r="L28" s="90"/>
      <c r="M28" s="90">
        <f t="shared" si="3"/>
        <v>255104</v>
      </c>
      <c r="N28" s="90"/>
    </row>
    <row r="29" spans="1:14" ht="18" x14ac:dyDescent="0.25">
      <c r="A29" s="1">
        <v>21</v>
      </c>
      <c r="B29" s="160" t="s">
        <v>281</v>
      </c>
      <c r="C29" s="161"/>
      <c r="D29" s="161"/>
      <c r="E29" s="196"/>
      <c r="F29" s="196"/>
      <c r="G29" s="161">
        <f>700000/1.27</f>
        <v>551181.10236220469</v>
      </c>
      <c r="H29" s="161">
        <v>581000</v>
      </c>
      <c r="I29" s="90">
        <f t="shared" si="0"/>
        <v>551181.10236220469</v>
      </c>
      <c r="J29" s="90">
        <f t="shared" si="0"/>
        <v>581000</v>
      </c>
      <c r="K29" s="90">
        <f t="shared" si="2"/>
        <v>551181.10236220469</v>
      </c>
      <c r="L29" s="90"/>
      <c r="M29" s="90">
        <f t="shared" si="3"/>
        <v>581000</v>
      </c>
      <c r="N29" s="90"/>
    </row>
    <row r="30" spans="1:14" ht="18" x14ac:dyDescent="0.25">
      <c r="A30" s="1">
        <v>22</v>
      </c>
      <c r="B30" s="162" t="s">
        <v>282</v>
      </c>
      <c r="C30" s="161"/>
      <c r="D30" s="161"/>
      <c r="E30" s="90"/>
      <c r="F30" s="90"/>
      <c r="G30" s="161">
        <f>350000/1.27</f>
        <v>275590.55118110235</v>
      </c>
      <c r="H30" s="161">
        <v>240000</v>
      </c>
      <c r="I30" s="90">
        <f t="shared" si="0"/>
        <v>275590.55118110235</v>
      </c>
      <c r="J30" s="90">
        <f t="shared" si="0"/>
        <v>240000</v>
      </c>
      <c r="K30" s="90">
        <f t="shared" si="2"/>
        <v>275590.55118110235</v>
      </c>
      <c r="L30" s="90"/>
      <c r="M30" s="90">
        <f t="shared" si="3"/>
        <v>240000</v>
      </c>
      <c r="N30" s="90"/>
    </row>
    <row r="31" spans="1:14" ht="36" x14ac:dyDescent="0.25">
      <c r="A31" s="1">
        <v>23</v>
      </c>
      <c r="B31" s="162" t="s">
        <v>340</v>
      </c>
      <c r="C31" s="161"/>
      <c r="D31" s="161"/>
      <c r="E31" s="90"/>
      <c r="F31" s="90"/>
      <c r="G31" s="161">
        <v>0</v>
      </c>
      <c r="H31" s="161">
        <v>855906</v>
      </c>
      <c r="I31" s="90">
        <f t="shared" si="0"/>
        <v>0</v>
      </c>
      <c r="J31" s="90">
        <f t="shared" si="0"/>
        <v>855906</v>
      </c>
      <c r="K31" s="90">
        <f t="shared" si="2"/>
        <v>0</v>
      </c>
      <c r="L31" s="90"/>
      <c r="M31" s="90">
        <f t="shared" si="3"/>
        <v>855906</v>
      </c>
      <c r="N31" s="90"/>
    </row>
    <row r="32" spans="1:14" ht="18" x14ac:dyDescent="0.25">
      <c r="A32" s="1">
        <v>24</v>
      </c>
      <c r="B32" s="162" t="s">
        <v>341</v>
      </c>
      <c r="C32" s="161"/>
      <c r="D32" s="161"/>
      <c r="E32" s="90"/>
      <c r="F32" s="90"/>
      <c r="G32" s="161">
        <v>0</v>
      </c>
      <c r="H32" s="161">
        <v>1555000</v>
      </c>
      <c r="I32" s="90">
        <f t="shared" si="0"/>
        <v>0</v>
      </c>
      <c r="J32" s="90">
        <f t="shared" si="0"/>
        <v>1555000</v>
      </c>
      <c r="K32" s="90">
        <f t="shared" si="2"/>
        <v>0</v>
      </c>
      <c r="L32" s="90"/>
      <c r="M32" s="90">
        <f t="shared" si="3"/>
        <v>1555000</v>
      </c>
      <c r="N32" s="90"/>
    </row>
    <row r="33" spans="1:14" ht="18" x14ac:dyDescent="0.25">
      <c r="A33" s="1">
        <v>25</v>
      </c>
      <c r="B33" s="162"/>
      <c r="C33" s="167"/>
      <c r="D33" s="167"/>
      <c r="E33" s="90"/>
      <c r="F33" s="90"/>
      <c r="G33" s="90"/>
      <c r="H33" s="90"/>
      <c r="I33" s="90">
        <f t="shared" ref="I33:J34" si="4">C33+E33+G33</f>
        <v>0</v>
      </c>
      <c r="J33" s="90">
        <f t="shared" si="4"/>
        <v>0</v>
      </c>
      <c r="K33" s="90">
        <f t="shared" si="2"/>
        <v>0</v>
      </c>
      <c r="L33" s="90"/>
      <c r="M33" s="90">
        <f t="shared" si="3"/>
        <v>0</v>
      </c>
      <c r="N33" s="90"/>
    </row>
    <row r="34" spans="1:14" ht="18" x14ac:dyDescent="0.25">
      <c r="A34" s="1">
        <v>26</v>
      </c>
      <c r="B34" s="168" t="s">
        <v>177</v>
      </c>
      <c r="C34" s="169">
        <f>SUM(C9:C33)*0.27</f>
        <v>46077519.685039364</v>
      </c>
      <c r="D34" s="169">
        <v>32485914</v>
      </c>
      <c r="E34" s="169">
        <f>SUM(E9:E33)*0.27</f>
        <v>270000</v>
      </c>
      <c r="F34" s="169">
        <f>SUM(F9:F33)*0.27</f>
        <v>2447388</v>
      </c>
      <c r="G34" s="169">
        <f>SUM(G9:G33)*0.27</f>
        <v>277228.3464566929</v>
      </c>
      <c r="H34" s="169">
        <f>SUM(H9:H33)*0.27</f>
        <v>988668.18</v>
      </c>
      <c r="I34" s="90">
        <f t="shared" si="4"/>
        <v>46624748.031496055</v>
      </c>
      <c r="J34" s="90">
        <f t="shared" si="4"/>
        <v>35921970.18</v>
      </c>
      <c r="K34" s="90">
        <f t="shared" si="2"/>
        <v>46624748.031496055</v>
      </c>
      <c r="L34" s="90"/>
      <c r="M34" s="90">
        <f t="shared" si="3"/>
        <v>35921970.18</v>
      </c>
      <c r="N34" s="90"/>
    </row>
    <row r="35" spans="1:14" ht="18.75" x14ac:dyDescent="0.3">
      <c r="A35" s="1">
        <v>27</v>
      </c>
      <c r="B35" s="78" t="s">
        <v>81</v>
      </c>
      <c r="C35" s="91">
        <f>SUM(C9:C34)</f>
        <v>216734999.99999997</v>
      </c>
      <c r="D35" s="91">
        <f t="shared" ref="D35:N35" si="5">SUM(D9:D34)</f>
        <v>164284287</v>
      </c>
      <c r="E35" s="91">
        <f t="shared" si="5"/>
        <v>1270000</v>
      </c>
      <c r="F35" s="91">
        <f t="shared" si="5"/>
        <v>11511788</v>
      </c>
      <c r="G35" s="91">
        <f t="shared" si="5"/>
        <v>1304000</v>
      </c>
      <c r="H35" s="91">
        <f t="shared" si="5"/>
        <v>4650402.18</v>
      </c>
      <c r="I35" s="91">
        <f t="shared" si="5"/>
        <v>219308999.99999997</v>
      </c>
      <c r="J35" s="91">
        <f t="shared" si="5"/>
        <v>180446477.18000001</v>
      </c>
      <c r="K35" s="91">
        <f t="shared" si="5"/>
        <v>219308999.99999997</v>
      </c>
      <c r="L35" s="91">
        <f t="shared" si="5"/>
        <v>0</v>
      </c>
      <c r="M35" s="91">
        <f t="shared" si="5"/>
        <v>180446477.18000001</v>
      </c>
      <c r="N35" s="91">
        <f t="shared" si="5"/>
        <v>0</v>
      </c>
    </row>
    <row r="36" spans="1:14" ht="18.75" x14ac:dyDescent="0.3">
      <c r="B36" s="7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1:14" ht="18" x14ac:dyDescent="0.25">
      <c r="B37" s="83" t="s">
        <v>87</v>
      </c>
    </row>
    <row r="38" spans="1:14" ht="60" x14ac:dyDescent="0.2">
      <c r="B38" s="75" t="s">
        <v>0</v>
      </c>
      <c r="C38" s="41" t="s">
        <v>1</v>
      </c>
      <c r="D38" s="41" t="s">
        <v>71</v>
      </c>
      <c r="E38" s="41" t="s">
        <v>2</v>
      </c>
      <c r="F38" s="41" t="s">
        <v>92</v>
      </c>
      <c r="G38" s="41" t="s">
        <v>65</v>
      </c>
      <c r="H38" s="41" t="s">
        <v>93</v>
      </c>
      <c r="I38" s="4" t="s">
        <v>3</v>
      </c>
      <c r="J38" s="4" t="s">
        <v>4</v>
      </c>
      <c r="K38" s="4" t="s">
        <v>63</v>
      </c>
      <c r="L38" s="4" t="s">
        <v>64</v>
      </c>
      <c r="M38" s="4" t="s">
        <v>66</v>
      </c>
      <c r="N38" s="4" t="s">
        <v>67</v>
      </c>
    </row>
    <row r="39" spans="1:14" ht="15" x14ac:dyDescent="0.2">
      <c r="B39" s="76" t="s">
        <v>5</v>
      </c>
      <c r="C39" s="76" t="s">
        <v>6</v>
      </c>
      <c r="D39" s="76" t="s">
        <v>7</v>
      </c>
      <c r="E39" s="76" t="s">
        <v>8</v>
      </c>
      <c r="F39" s="76" t="s">
        <v>9</v>
      </c>
      <c r="G39" s="76" t="s">
        <v>10</v>
      </c>
      <c r="H39" s="76" t="s">
        <v>11</v>
      </c>
      <c r="I39" s="76" t="s">
        <v>12</v>
      </c>
      <c r="J39" s="76" t="s">
        <v>13</v>
      </c>
      <c r="K39" s="76" t="s">
        <v>14</v>
      </c>
      <c r="L39" s="76" t="s">
        <v>15</v>
      </c>
      <c r="M39" s="76" t="s">
        <v>16</v>
      </c>
      <c r="N39" s="76" t="s">
        <v>178</v>
      </c>
    </row>
    <row r="40" spans="1:14" ht="18" x14ac:dyDescent="0.25">
      <c r="A40" s="1">
        <v>1</v>
      </c>
      <c r="B40" s="162" t="s">
        <v>334</v>
      </c>
      <c r="C40" s="161">
        <v>9825197</v>
      </c>
      <c r="D40" s="161">
        <v>10094946</v>
      </c>
      <c r="E40" s="90"/>
      <c r="F40" s="90"/>
      <c r="G40" s="90"/>
      <c r="H40" s="90"/>
      <c r="I40" s="90">
        <f t="shared" ref="I40:J45" si="6">C40+E40+G40</f>
        <v>9825197</v>
      </c>
      <c r="J40" s="90">
        <f t="shared" si="6"/>
        <v>10094946</v>
      </c>
      <c r="K40" s="90">
        <f>C40+E40+G40</f>
        <v>9825197</v>
      </c>
      <c r="L40" s="90"/>
      <c r="M40" s="90">
        <f>D40+F40+H40</f>
        <v>10094946</v>
      </c>
      <c r="N40" s="90"/>
    </row>
    <row r="41" spans="1:14" ht="36.75" customHeight="1" x14ac:dyDescent="0.25">
      <c r="A41" s="1">
        <v>2</v>
      </c>
      <c r="B41" s="162" t="s">
        <v>273</v>
      </c>
      <c r="C41" s="161">
        <v>3000000</v>
      </c>
      <c r="D41" s="161">
        <v>0</v>
      </c>
      <c r="E41" s="90"/>
      <c r="F41" s="90"/>
      <c r="G41" s="90"/>
      <c r="H41" s="90"/>
      <c r="I41" s="90">
        <f t="shared" si="6"/>
        <v>3000000</v>
      </c>
      <c r="J41" s="90">
        <f t="shared" si="6"/>
        <v>0</v>
      </c>
      <c r="K41" s="90">
        <f t="shared" ref="K41:K44" si="7">C41+E41+G41</f>
        <v>3000000</v>
      </c>
      <c r="L41" s="90"/>
      <c r="M41" s="90">
        <f t="shared" ref="M41:M44" si="8">D41+F41+H41</f>
        <v>0</v>
      </c>
      <c r="N41" s="90"/>
    </row>
    <row r="42" spans="1:14" ht="36.75" customHeight="1" x14ac:dyDescent="0.25">
      <c r="A42" s="1">
        <v>3</v>
      </c>
      <c r="B42" s="191" t="s">
        <v>274</v>
      </c>
      <c r="C42" s="167">
        <f>5000000/1.27</f>
        <v>3937007.874015748</v>
      </c>
      <c r="D42" s="167">
        <v>0</v>
      </c>
      <c r="E42" s="90"/>
      <c r="F42" s="90"/>
      <c r="G42" s="90"/>
      <c r="H42" s="90"/>
      <c r="I42" s="90">
        <f t="shared" si="6"/>
        <v>3937007.874015748</v>
      </c>
      <c r="J42" s="90">
        <f t="shared" si="6"/>
        <v>0</v>
      </c>
      <c r="K42" s="90">
        <f t="shared" si="7"/>
        <v>3937007.874015748</v>
      </c>
      <c r="L42" s="90"/>
      <c r="M42" s="90">
        <f t="shared" si="8"/>
        <v>0</v>
      </c>
      <c r="N42" s="90"/>
    </row>
    <row r="43" spans="1:14" ht="36.75" customHeight="1" x14ac:dyDescent="0.25">
      <c r="A43" s="1">
        <v>4</v>
      </c>
      <c r="B43" s="193" t="s">
        <v>335</v>
      </c>
      <c r="C43" s="192"/>
      <c r="D43" s="192">
        <v>120000</v>
      </c>
      <c r="E43" s="90"/>
      <c r="F43" s="90"/>
      <c r="G43" s="90"/>
      <c r="H43" s="90"/>
      <c r="I43" s="90">
        <f t="shared" si="6"/>
        <v>0</v>
      </c>
      <c r="J43" s="90">
        <f t="shared" si="6"/>
        <v>120000</v>
      </c>
      <c r="K43" s="90">
        <f t="shared" si="7"/>
        <v>0</v>
      </c>
      <c r="L43" s="90"/>
      <c r="M43" s="90">
        <f t="shared" si="8"/>
        <v>120000</v>
      </c>
      <c r="N43" s="90"/>
    </row>
    <row r="44" spans="1:14" ht="36.75" customHeight="1" x14ac:dyDescent="0.25">
      <c r="A44" s="1">
        <v>5</v>
      </c>
      <c r="B44" s="162" t="s">
        <v>270</v>
      </c>
      <c r="C44" s="161">
        <v>14173228</v>
      </c>
      <c r="D44" s="192">
        <v>13590404</v>
      </c>
      <c r="E44" s="90"/>
      <c r="F44" s="90"/>
      <c r="G44" s="90"/>
      <c r="H44" s="90"/>
      <c r="I44" s="90">
        <f t="shared" si="6"/>
        <v>14173228</v>
      </c>
      <c r="J44" s="90">
        <f t="shared" si="6"/>
        <v>13590404</v>
      </c>
      <c r="K44" s="90">
        <f t="shared" si="7"/>
        <v>14173228</v>
      </c>
      <c r="L44" s="90"/>
      <c r="M44" s="90">
        <f t="shared" si="8"/>
        <v>13590404</v>
      </c>
      <c r="N44" s="90"/>
    </row>
    <row r="45" spans="1:14" ht="18" x14ac:dyDescent="0.25">
      <c r="A45" s="1">
        <v>6</v>
      </c>
      <c r="B45" s="150" t="s">
        <v>177</v>
      </c>
      <c r="C45" s="163">
        <f>(C40+C41+C42+C43+C44)*0.27</f>
        <v>8352566.8759842524</v>
      </c>
      <c r="D45" s="163">
        <f>(D40+D41+D42+D43+D44)*0.27</f>
        <v>6427444.5</v>
      </c>
      <c r="E45" s="77"/>
      <c r="F45" s="77"/>
      <c r="G45" s="77"/>
      <c r="H45" s="77"/>
      <c r="I45" s="90">
        <f t="shared" si="6"/>
        <v>8352566.8759842524</v>
      </c>
      <c r="J45" s="90">
        <f t="shared" si="6"/>
        <v>6427444.5</v>
      </c>
      <c r="K45" s="90">
        <f>C45</f>
        <v>8352566.8759842524</v>
      </c>
      <c r="L45" s="90"/>
      <c r="M45" s="90">
        <f>D45</f>
        <v>6427444.5</v>
      </c>
      <c r="N45" s="77"/>
    </row>
    <row r="46" spans="1:14" ht="18.75" x14ac:dyDescent="0.3">
      <c r="A46" s="1">
        <v>7</v>
      </c>
      <c r="B46" s="78" t="s">
        <v>81</v>
      </c>
      <c r="C46" s="164">
        <f>SUM(C40:C45)</f>
        <v>39287999.75</v>
      </c>
      <c r="D46" s="164">
        <f>SUM(D40:D45)</f>
        <v>30232794.5</v>
      </c>
      <c r="E46" s="164">
        <f>SUM(E45:E45)</f>
        <v>0</v>
      </c>
      <c r="F46" s="164">
        <f>SUM(F45:F45)</f>
        <v>0</v>
      </c>
      <c r="G46" s="164">
        <f>SUM(G45:G45)</f>
        <v>0</v>
      </c>
      <c r="H46" s="164">
        <f>SUM(H45:H45)</f>
        <v>0</v>
      </c>
      <c r="I46" s="164">
        <f>SUM(I40:I45)</f>
        <v>39287999.75</v>
      </c>
      <c r="J46" s="164">
        <f>SUM(J40:J45)</f>
        <v>30232794.5</v>
      </c>
      <c r="K46" s="164">
        <f>SUM(K40:K45)</f>
        <v>39287999.75</v>
      </c>
      <c r="L46" s="164">
        <f>SUM(L45:L45)</f>
        <v>0</v>
      </c>
      <c r="M46" s="164">
        <f>SUM(M40:M45)</f>
        <v>30232794.5</v>
      </c>
      <c r="N46" s="164">
        <f>SUM(N45:N45)</f>
        <v>0</v>
      </c>
    </row>
    <row r="47" spans="1:14" ht="18" x14ac:dyDescent="0.25">
      <c r="B47" s="80"/>
      <c r="C47" s="81"/>
      <c r="D47" s="82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14" ht="18" x14ac:dyDescent="0.25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49" spans="2:14" ht="18" x14ac:dyDescent="0.25">
      <c r="B49" s="83" t="s">
        <v>88</v>
      </c>
      <c r="C49" s="84">
        <f>C35+C46</f>
        <v>256022999.74999997</v>
      </c>
      <c r="D49" s="84">
        <f t="shared" ref="D49:N49" si="9">D35+D46</f>
        <v>194517081.5</v>
      </c>
      <c r="E49" s="84">
        <f t="shared" si="9"/>
        <v>1270000</v>
      </c>
      <c r="F49" s="84">
        <f t="shared" si="9"/>
        <v>11511788</v>
      </c>
      <c r="G49" s="84">
        <f t="shared" si="9"/>
        <v>1304000</v>
      </c>
      <c r="H49" s="84">
        <f t="shared" si="9"/>
        <v>4650402.18</v>
      </c>
      <c r="I49" s="84">
        <f t="shared" si="9"/>
        <v>258596999.74999997</v>
      </c>
      <c r="J49" s="84">
        <f t="shared" si="9"/>
        <v>210679271.68000001</v>
      </c>
      <c r="K49" s="84">
        <f t="shared" si="9"/>
        <v>258596999.74999997</v>
      </c>
      <c r="L49" s="84">
        <f t="shared" si="9"/>
        <v>0</v>
      </c>
      <c r="M49" s="84">
        <f t="shared" si="9"/>
        <v>210679271.68000001</v>
      </c>
      <c r="N49" s="84">
        <f t="shared" si="9"/>
        <v>0</v>
      </c>
    </row>
    <row r="50" spans="2:14" ht="18" x14ac:dyDescent="0.25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2:14" x14ac:dyDescent="0.2">
      <c r="B51" s="202" t="s">
        <v>349</v>
      </c>
      <c r="C51" s="202"/>
      <c r="D51" s="202"/>
      <c r="E51" s="202"/>
      <c r="F51" s="202"/>
      <c r="G51" s="202"/>
      <c r="H51" s="202"/>
      <c r="I51" s="202"/>
    </row>
    <row r="53" spans="2:14" ht="60" x14ac:dyDescent="0.2">
      <c r="B53" s="38" t="s">
        <v>0</v>
      </c>
      <c r="C53" s="85" t="s">
        <v>89</v>
      </c>
      <c r="D53" s="85" t="s">
        <v>90</v>
      </c>
      <c r="E53" s="85" t="s">
        <v>91</v>
      </c>
      <c r="F53" s="85" t="s">
        <v>91</v>
      </c>
      <c r="G53" s="85" t="s">
        <v>91</v>
      </c>
      <c r="H53" s="85" t="s">
        <v>91</v>
      </c>
      <c r="I53" s="85" t="s">
        <v>91</v>
      </c>
      <c r="J53" s="85" t="s">
        <v>91</v>
      </c>
      <c r="K53" s="1"/>
      <c r="L53" s="1"/>
      <c r="M53" s="1"/>
      <c r="N53" s="1"/>
    </row>
    <row r="54" spans="2:14" x14ac:dyDescent="0.2">
      <c r="B54" s="86"/>
      <c r="C54" s="87"/>
      <c r="D54" s="87"/>
      <c r="E54" s="87"/>
      <c r="F54" s="87"/>
      <c r="G54" s="87"/>
      <c r="H54" s="87"/>
      <c r="I54" s="87"/>
      <c r="J54" s="87"/>
      <c r="K54" s="1"/>
      <c r="L54" s="1"/>
      <c r="M54" s="1"/>
      <c r="N54" s="1"/>
    </row>
    <row r="55" spans="2:14" ht="15" x14ac:dyDescent="0.2">
      <c r="B55" s="88" t="s">
        <v>80</v>
      </c>
      <c r="C55" s="87"/>
      <c r="D55" s="87"/>
      <c r="E55" s="87"/>
      <c r="F55" s="87"/>
      <c r="G55" s="87"/>
      <c r="H55" s="87"/>
      <c r="I55" s="87"/>
      <c r="J55" s="87"/>
      <c r="K55" s="1"/>
      <c r="L55" s="1"/>
      <c r="M55" s="1"/>
      <c r="N55" s="1"/>
    </row>
    <row r="58" spans="2:14" ht="15" x14ac:dyDescent="0.2">
      <c r="B58" s="89"/>
    </row>
    <row r="68" spans="2:14" ht="18" x14ac:dyDescent="0.25"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</row>
    <row r="69" spans="2:14" ht="18" x14ac:dyDescent="0.25">
      <c r="B69" s="80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</row>
    <row r="70" spans="2:14" ht="18" x14ac:dyDescent="0.25"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</row>
    <row r="71" spans="2:14" ht="18" x14ac:dyDescent="0.25">
      <c r="B71" s="80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</row>
    <row r="72" spans="2:14" ht="18" x14ac:dyDescent="0.25"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</row>
    <row r="73" spans="2:14" ht="18" x14ac:dyDescent="0.25">
      <c r="B73" s="80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</row>
    <row r="74" spans="2:14" ht="18" x14ac:dyDescent="0.25">
      <c r="B74" s="80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</row>
    <row r="75" spans="2:14" ht="18" x14ac:dyDescent="0.25"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</row>
    <row r="76" spans="2:14" ht="18" x14ac:dyDescent="0.25">
      <c r="B76" s="80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</row>
    <row r="77" spans="2:14" ht="18" x14ac:dyDescent="0.25">
      <c r="B77" s="80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2:14" ht="18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2:14" ht="18" x14ac:dyDescent="0.25"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2:14" ht="18" x14ac:dyDescent="0.25"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2:14" ht="18" x14ac:dyDescent="0.25">
      <c r="B81" s="80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2:14" ht="18" x14ac:dyDescent="0.25">
      <c r="B82" s="80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2:14" ht="18" x14ac:dyDescent="0.25">
      <c r="B83" s="80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</sheetData>
  <mergeCells count="4">
    <mergeCell ref="B51:I51"/>
    <mergeCell ref="B1:N1"/>
    <mergeCell ref="J2:N2"/>
    <mergeCell ref="J4:N4"/>
  </mergeCells>
  <phoneticPr fontId="5" type="noConversion"/>
  <pageMargins left="0.47244094488188981" right="0.43307086614173229" top="0.45" bottom="0.42" header="0.31496062992125984" footer="0.31496062992125984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view="pageBreakPreview" zoomScale="60" workbookViewId="0">
      <selection activeCell="F13" sqref="F13"/>
    </sheetView>
  </sheetViews>
  <sheetFormatPr defaultColWidth="9.140625" defaultRowHeight="12.75" x14ac:dyDescent="0.2"/>
  <cols>
    <col min="1" max="1" width="3.710937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 x14ac:dyDescent="0.2">
      <c r="B1" s="200" t="s">
        <v>304</v>
      </c>
      <c r="C1" s="200"/>
      <c r="D1" s="200"/>
      <c r="E1" s="200"/>
      <c r="F1" s="200"/>
      <c r="G1" s="200"/>
      <c r="H1" s="200"/>
    </row>
    <row r="2" spans="1:24" x14ac:dyDescent="0.2">
      <c r="B2" s="36"/>
      <c r="C2" s="36"/>
      <c r="D2" s="200"/>
      <c r="E2" s="200"/>
      <c r="F2" s="200"/>
      <c r="G2" s="200"/>
      <c r="H2" s="200"/>
    </row>
    <row r="3" spans="1:24" ht="27.75" x14ac:dyDescent="0.4">
      <c r="B3" s="179" t="s">
        <v>283</v>
      </c>
    </row>
    <row r="4" spans="1:24" ht="20.25" x14ac:dyDescent="0.3">
      <c r="B4" s="37"/>
      <c r="G4" s="1" t="s">
        <v>75</v>
      </c>
    </row>
    <row r="5" spans="1:24" ht="60" x14ac:dyDescent="0.2">
      <c r="B5" s="47" t="s">
        <v>0</v>
      </c>
      <c r="C5" s="41" t="s">
        <v>1</v>
      </c>
      <c r="D5" s="41" t="s">
        <v>59</v>
      </c>
      <c r="E5" s="4" t="s">
        <v>63</v>
      </c>
      <c r="F5" s="4" t="s">
        <v>64</v>
      </c>
      <c r="G5" s="4" t="s">
        <v>66</v>
      </c>
      <c r="H5" s="4" t="s">
        <v>67</v>
      </c>
    </row>
    <row r="6" spans="1:24" ht="14.25" x14ac:dyDescent="0.2">
      <c r="B6" s="41" t="s">
        <v>5</v>
      </c>
      <c r="C6" s="41" t="s">
        <v>6</v>
      </c>
      <c r="D6" s="41" t="s">
        <v>7</v>
      </c>
      <c r="E6" s="41" t="s">
        <v>8</v>
      </c>
      <c r="F6" s="41" t="s">
        <v>73</v>
      </c>
      <c r="G6" s="41" t="s">
        <v>10</v>
      </c>
      <c r="H6" s="41" t="s">
        <v>11</v>
      </c>
    </row>
    <row r="7" spans="1:24" ht="30" customHeight="1" x14ac:dyDescent="0.2">
      <c r="A7" s="1">
        <v>1</v>
      </c>
      <c r="B7" s="6" t="s">
        <v>245</v>
      </c>
      <c r="C7" s="49">
        <v>3000000</v>
      </c>
      <c r="D7" s="49">
        <f>1500000+2050816</f>
        <v>3550816</v>
      </c>
      <c r="E7" s="51"/>
      <c r="F7" s="49">
        <f t="shared" ref="F7:F12" si="0">C7</f>
        <v>3000000</v>
      </c>
      <c r="G7" s="49"/>
      <c r="H7" s="49">
        <f t="shared" ref="H7:H12" si="1">D7</f>
        <v>3550816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0" customHeight="1" x14ac:dyDescent="0.2">
      <c r="A8" s="1">
        <v>2</v>
      </c>
      <c r="B8" s="6" t="s">
        <v>284</v>
      </c>
      <c r="C8" s="49">
        <v>63000000</v>
      </c>
      <c r="D8" s="49">
        <v>36000000</v>
      </c>
      <c r="E8" s="51"/>
      <c r="F8" s="49">
        <f t="shared" si="0"/>
        <v>63000000</v>
      </c>
      <c r="G8" s="49"/>
      <c r="H8" s="49">
        <f t="shared" si="1"/>
        <v>36000000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x14ac:dyDescent="0.2">
      <c r="A9" s="1">
        <v>3</v>
      </c>
      <c r="B9" s="6" t="s">
        <v>129</v>
      </c>
      <c r="C9" s="49">
        <v>1800000</v>
      </c>
      <c r="D9" s="49">
        <f t="shared" ref="D9" si="2">C9</f>
        <v>1800000</v>
      </c>
      <c r="E9" s="51"/>
      <c r="F9" s="49">
        <f t="shared" si="0"/>
        <v>1800000</v>
      </c>
      <c r="G9" s="49"/>
      <c r="H9" s="49">
        <f t="shared" si="1"/>
        <v>1800000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9" customHeight="1" x14ac:dyDescent="0.2">
      <c r="A10" s="1">
        <v>4</v>
      </c>
      <c r="B10" s="6" t="s">
        <v>130</v>
      </c>
      <c r="C10" s="49">
        <v>18000000</v>
      </c>
      <c r="D10" s="49">
        <v>17222500</v>
      </c>
      <c r="E10" s="51"/>
      <c r="F10" s="49">
        <f t="shared" si="0"/>
        <v>18000000</v>
      </c>
      <c r="G10" s="49"/>
      <c r="H10" s="49">
        <f t="shared" si="1"/>
        <v>17222500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 x14ac:dyDescent="0.2">
      <c r="A11" s="1">
        <v>5</v>
      </c>
      <c r="B11" s="6" t="s">
        <v>342</v>
      </c>
      <c r="C11" s="49"/>
      <c r="D11" s="49">
        <v>4787748</v>
      </c>
      <c r="E11" s="51"/>
      <c r="F11" s="49">
        <f t="shared" si="0"/>
        <v>0</v>
      </c>
      <c r="G11" s="49"/>
      <c r="H11" s="49">
        <f t="shared" si="1"/>
        <v>4787748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x14ac:dyDescent="0.2">
      <c r="A12" s="1">
        <v>6</v>
      </c>
      <c r="B12" s="6" t="s">
        <v>131</v>
      </c>
      <c r="C12" s="49"/>
      <c r="D12" s="49">
        <v>21058500</v>
      </c>
      <c r="E12" s="51"/>
      <c r="F12" s="49">
        <f t="shared" si="0"/>
        <v>0</v>
      </c>
      <c r="G12" s="49"/>
      <c r="H12" s="49">
        <f t="shared" si="1"/>
        <v>21058500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2.25" customHeight="1" x14ac:dyDescent="0.2">
      <c r="A13" s="1">
        <v>7</v>
      </c>
      <c r="B13" s="44" t="s">
        <v>94</v>
      </c>
      <c r="C13" s="51">
        <f t="shared" ref="C13:H13" si="3">SUM(C7:C12)</f>
        <v>85800000</v>
      </c>
      <c r="D13" s="51">
        <f t="shared" ref="D13" si="4">SUM(D7:D12)</f>
        <v>84419564</v>
      </c>
      <c r="E13" s="51">
        <f t="shared" si="3"/>
        <v>0</v>
      </c>
      <c r="F13" s="51">
        <f t="shared" si="3"/>
        <v>85800000</v>
      </c>
      <c r="G13" s="51">
        <f t="shared" si="3"/>
        <v>0</v>
      </c>
      <c r="H13" s="51">
        <f t="shared" si="3"/>
        <v>84419564</v>
      </c>
      <c r="I13" s="52"/>
      <c r="J13" s="52"/>
      <c r="K13" s="52"/>
      <c r="L13" s="52"/>
      <c r="M13" s="52"/>
      <c r="N13" s="52"/>
      <c r="O13" s="52"/>
      <c r="P13" s="52"/>
      <c r="Q13" s="92"/>
      <c r="R13" s="53"/>
      <c r="S13" s="53"/>
      <c r="T13" s="53"/>
      <c r="U13" s="53"/>
      <c r="V13" s="53"/>
      <c r="W13" s="53"/>
      <c r="X13" s="53"/>
    </row>
    <row r="14" spans="1:24" ht="32.25" customHeight="1" x14ac:dyDescent="0.2">
      <c r="B14" s="93"/>
      <c r="C14" s="62"/>
      <c r="D14" s="62"/>
      <c r="E14" s="62"/>
      <c r="F14" s="62"/>
      <c r="G14" s="62"/>
      <c r="H14" s="62"/>
      <c r="I14" s="52"/>
      <c r="J14" s="52"/>
      <c r="K14" s="52"/>
      <c r="L14" s="52"/>
      <c r="M14" s="52"/>
      <c r="N14" s="52"/>
      <c r="O14" s="52"/>
      <c r="P14" s="52"/>
      <c r="Q14" s="92"/>
      <c r="R14" s="53"/>
      <c r="S14" s="53"/>
      <c r="T14" s="53"/>
      <c r="U14" s="53"/>
      <c r="V14" s="53"/>
      <c r="W14" s="53"/>
      <c r="X14" s="53"/>
    </row>
    <row r="15" spans="1:24" ht="60" x14ac:dyDescent="0.2">
      <c r="B15" s="47" t="s">
        <v>0</v>
      </c>
      <c r="C15" s="41" t="s">
        <v>1</v>
      </c>
      <c r="D15" s="41" t="s">
        <v>59</v>
      </c>
      <c r="E15" s="4" t="s">
        <v>63</v>
      </c>
      <c r="F15" s="4" t="s">
        <v>64</v>
      </c>
      <c r="G15" s="4" t="s">
        <v>66</v>
      </c>
      <c r="H15" s="4" t="s">
        <v>67</v>
      </c>
    </row>
    <row r="16" spans="1:24" ht="14.25" x14ac:dyDescent="0.2">
      <c r="B16" s="47" t="s">
        <v>5</v>
      </c>
      <c r="C16" s="41" t="s">
        <v>6</v>
      </c>
      <c r="D16" s="41" t="s">
        <v>7</v>
      </c>
      <c r="E16" s="41" t="s">
        <v>8</v>
      </c>
      <c r="F16" s="41" t="s">
        <v>73</v>
      </c>
      <c r="G16" s="41" t="s">
        <v>10</v>
      </c>
      <c r="H16" s="41" t="s">
        <v>11</v>
      </c>
    </row>
    <row r="17" spans="1:24" ht="16.5" x14ac:dyDescent="0.2">
      <c r="A17" s="1">
        <v>1</v>
      </c>
      <c r="B17" s="6" t="s">
        <v>246</v>
      </c>
      <c r="C17" s="49"/>
      <c r="D17" s="49"/>
      <c r="E17" s="51"/>
      <c r="F17" s="49">
        <f>C17</f>
        <v>0</v>
      </c>
      <c r="G17" s="49"/>
      <c r="H17" s="49">
        <f>D17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5" x14ac:dyDescent="0.2">
      <c r="A18" s="1">
        <v>2</v>
      </c>
      <c r="B18" s="6" t="s">
        <v>132</v>
      </c>
      <c r="C18" s="49"/>
      <c r="D18" s="49"/>
      <c r="E18" s="51"/>
      <c r="F18" s="49">
        <f>C18</f>
        <v>0</v>
      </c>
      <c r="G18" s="49"/>
      <c r="H18" s="49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5" x14ac:dyDescent="0.2">
      <c r="A19" s="1">
        <v>3</v>
      </c>
      <c r="B19" s="6" t="s">
        <v>133</v>
      </c>
      <c r="C19" s="49"/>
      <c r="D19" s="49"/>
      <c r="E19" s="51"/>
      <c r="F19" s="49">
        <f>C19</f>
        <v>0</v>
      </c>
      <c r="G19" s="49"/>
      <c r="H19" s="49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 x14ac:dyDescent="0.2">
      <c r="A20" s="1">
        <v>4</v>
      </c>
      <c r="B20" s="6" t="s">
        <v>134</v>
      </c>
      <c r="C20" s="49"/>
      <c r="D20" s="49"/>
      <c r="E20" s="51"/>
      <c r="F20" s="49">
        <f>C20</f>
        <v>0</v>
      </c>
      <c r="G20" s="49"/>
      <c r="H20" s="49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 x14ac:dyDescent="0.2">
      <c r="A21" s="1">
        <v>5</v>
      </c>
      <c r="B21" s="6" t="s">
        <v>189</v>
      </c>
      <c r="C21" s="49"/>
      <c r="D21" s="49"/>
      <c r="E21" s="51"/>
      <c r="F21" s="49">
        <f>C21</f>
        <v>0</v>
      </c>
      <c r="G21" s="49"/>
      <c r="H21" s="49">
        <f>D21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" customHeight="1" x14ac:dyDescent="0.2">
      <c r="A22" s="1">
        <v>6</v>
      </c>
      <c r="B22" s="44" t="s">
        <v>95</v>
      </c>
      <c r="C22" s="51">
        <f t="shared" ref="C22:H22" si="5">SUM(C17:C21)</f>
        <v>0</v>
      </c>
      <c r="D22" s="51">
        <f t="shared" si="5"/>
        <v>0</v>
      </c>
      <c r="E22" s="51">
        <f t="shared" si="5"/>
        <v>0</v>
      </c>
      <c r="F22" s="51">
        <f t="shared" si="5"/>
        <v>0</v>
      </c>
      <c r="G22" s="51">
        <f t="shared" si="5"/>
        <v>0</v>
      </c>
      <c r="H22" s="51">
        <f t="shared" si="5"/>
        <v>0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94"/>
      <c r="T22" s="94"/>
      <c r="U22" s="94"/>
      <c r="V22" s="94"/>
      <c r="W22" s="94"/>
      <c r="X22" s="94"/>
    </row>
    <row r="23" spans="1:24" ht="14.25" x14ac:dyDescent="0.2">
      <c r="B23" s="95"/>
    </row>
    <row r="24" spans="1:24" ht="14.25" x14ac:dyDescent="0.2">
      <c r="B24" s="95"/>
    </row>
    <row r="25" spans="1:24" ht="14.25" x14ac:dyDescent="0.2">
      <c r="B25" s="95"/>
    </row>
    <row r="26" spans="1:24" ht="14.25" x14ac:dyDescent="0.2">
      <c r="B26" s="95"/>
    </row>
    <row r="27" spans="1:24" ht="14.25" x14ac:dyDescent="0.2">
      <c r="B27" s="95"/>
    </row>
    <row r="28" spans="1:24" ht="14.25" x14ac:dyDescent="0.2">
      <c r="B28" s="95"/>
    </row>
    <row r="29" spans="1:24" ht="14.25" x14ac:dyDescent="0.2">
      <c r="B29" s="95"/>
    </row>
    <row r="30" spans="1:24" ht="14.25" x14ac:dyDescent="0.2">
      <c r="B30" s="95"/>
    </row>
    <row r="31" spans="1:24" ht="14.25" x14ac:dyDescent="0.2">
      <c r="B31" s="95"/>
    </row>
    <row r="32" spans="1:24" ht="14.25" x14ac:dyDescent="0.2">
      <c r="B32" s="95"/>
    </row>
    <row r="33" spans="2:2" ht="14.25" x14ac:dyDescent="0.2">
      <c r="B33" s="95"/>
    </row>
    <row r="34" spans="2:2" ht="14.25" x14ac:dyDescent="0.2">
      <c r="B34" s="95"/>
    </row>
    <row r="35" spans="2:2" ht="14.25" x14ac:dyDescent="0.2">
      <c r="B35" s="95"/>
    </row>
  </sheetData>
  <mergeCells count="2">
    <mergeCell ref="B1:H1"/>
    <mergeCell ref="D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4"/>
  <sheetViews>
    <sheetView view="pageBreakPreview" zoomScale="60" zoomScaleNormal="75" workbookViewId="0">
      <selection activeCell="D11" sqref="D11"/>
    </sheetView>
  </sheetViews>
  <sheetFormatPr defaultColWidth="9.140625" defaultRowHeight="12.75" x14ac:dyDescent="0.2"/>
  <cols>
    <col min="1" max="1" width="9.14062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 x14ac:dyDescent="0.2">
      <c r="B1" s="200" t="s">
        <v>305</v>
      </c>
      <c r="C1" s="200"/>
      <c r="D1" s="200"/>
      <c r="E1" s="200"/>
      <c r="F1" s="200"/>
      <c r="G1" s="200"/>
      <c r="H1" s="200"/>
    </row>
    <row r="2" spans="1:24" x14ac:dyDescent="0.2">
      <c r="B2" s="36"/>
      <c r="C2" s="36"/>
      <c r="D2" s="36"/>
      <c r="E2" s="203"/>
      <c r="F2" s="203"/>
      <c r="G2" s="203"/>
      <c r="H2" s="203"/>
    </row>
    <row r="3" spans="1:24" ht="27.75" x14ac:dyDescent="0.4">
      <c r="B3" s="179" t="s">
        <v>285</v>
      </c>
    </row>
    <row r="4" spans="1:24" ht="20.25" x14ac:dyDescent="0.3">
      <c r="B4" s="37"/>
      <c r="G4" s="1" t="s">
        <v>75</v>
      </c>
    </row>
    <row r="5" spans="1:24" ht="60" x14ac:dyDescent="0.2">
      <c r="B5" s="47" t="s">
        <v>0</v>
      </c>
      <c r="C5" s="41" t="s">
        <v>1</v>
      </c>
      <c r="D5" s="41" t="s">
        <v>59</v>
      </c>
      <c r="E5" s="4" t="s">
        <v>63</v>
      </c>
      <c r="F5" s="4" t="s">
        <v>64</v>
      </c>
      <c r="G5" s="4" t="s">
        <v>66</v>
      </c>
      <c r="H5" s="4" t="s">
        <v>67</v>
      </c>
    </row>
    <row r="6" spans="1:24" ht="14.25" x14ac:dyDescent="0.2">
      <c r="B6" s="41" t="s">
        <v>5</v>
      </c>
      <c r="C6" s="41" t="s">
        <v>6</v>
      </c>
      <c r="D6" s="41" t="s">
        <v>7</v>
      </c>
      <c r="E6" s="41" t="s">
        <v>8</v>
      </c>
      <c r="F6" s="41" t="s">
        <v>73</v>
      </c>
      <c r="G6" s="41" t="s">
        <v>10</v>
      </c>
      <c r="H6" s="41" t="s">
        <v>11</v>
      </c>
    </row>
    <row r="7" spans="1:24" ht="16.5" x14ac:dyDescent="0.2">
      <c r="A7" s="1">
        <v>1</v>
      </c>
      <c r="B7" s="96" t="s">
        <v>183</v>
      </c>
      <c r="C7" s="49">
        <v>0</v>
      </c>
      <c r="D7" s="49">
        <v>0</v>
      </c>
      <c r="E7" s="49">
        <f>C7</f>
        <v>0</v>
      </c>
      <c r="F7" s="49"/>
      <c r="G7" s="49">
        <f>D7</f>
        <v>0</v>
      </c>
      <c r="H7" s="4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 x14ac:dyDescent="0.2">
      <c r="A8" s="1">
        <v>2</v>
      </c>
      <c r="B8" s="96" t="s">
        <v>184</v>
      </c>
      <c r="C8" s="49">
        <v>1000000</v>
      </c>
      <c r="D8" s="49">
        <v>797800</v>
      </c>
      <c r="E8" s="49">
        <f>C8</f>
        <v>1000000</v>
      </c>
      <c r="F8" s="49"/>
      <c r="G8" s="49">
        <f>D8</f>
        <v>797800</v>
      </c>
      <c r="H8" s="4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x14ac:dyDescent="0.2">
      <c r="A9" s="1">
        <v>3</v>
      </c>
      <c r="B9" s="96" t="s">
        <v>140</v>
      </c>
      <c r="C9" s="49">
        <v>0</v>
      </c>
      <c r="D9" s="49">
        <v>0</v>
      </c>
      <c r="E9" s="49">
        <f>C9</f>
        <v>0</v>
      </c>
      <c r="F9" s="49"/>
      <c r="G9" s="49">
        <f>D9</f>
        <v>0</v>
      </c>
      <c r="H9" s="4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4</v>
      </c>
      <c r="B10" s="96" t="s">
        <v>181</v>
      </c>
      <c r="C10" s="49">
        <v>1000000</v>
      </c>
      <c r="D10" s="49">
        <v>1340000</v>
      </c>
      <c r="E10" s="49">
        <f>C10</f>
        <v>1000000</v>
      </c>
      <c r="F10" s="51"/>
      <c r="G10" s="49">
        <f>D10</f>
        <v>1340000</v>
      </c>
      <c r="H10" s="5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4.5" customHeight="1" x14ac:dyDescent="0.2">
      <c r="A11" s="1">
        <v>5</v>
      </c>
      <c r="B11" s="44" t="s">
        <v>182</v>
      </c>
      <c r="C11" s="51">
        <f t="shared" ref="C11:H11" si="0">SUM(C7:C10)</f>
        <v>2000000</v>
      </c>
      <c r="D11" s="51">
        <f t="shared" si="0"/>
        <v>2137800</v>
      </c>
      <c r="E11" s="51">
        <f t="shared" si="0"/>
        <v>2000000</v>
      </c>
      <c r="F11" s="51">
        <f t="shared" si="0"/>
        <v>0</v>
      </c>
      <c r="G11" s="51">
        <f t="shared" si="0"/>
        <v>2137800</v>
      </c>
      <c r="H11" s="51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25" x14ac:dyDescent="0.2">
      <c r="B12" s="95"/>
    </row>
    <row r="13" spans="1:24" ht="14.25" x14ac:dyDescent="0.2">
      <c r="B13" s="95"/>
    </row>
    <row r="14" spans="1:24" ht="14.25" x14ac:dyDescent="0.2">
      <c r="B14" s="95"/>
    </row>
  </sheetData>
  <mergeCells count="2">
    <mergeCell ref="B1:H1"/>
    <mergeCell ref="E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2</vt:i4>
      </vt:variant>
    </vt:vector>
  </HeadingPairs>
  <TitlesOfParts>
    <vt:vector size="15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  <vt:lpstr>'4 ktgvetési tám. bev.'!Nyomtatási_terület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user</cp:lastModifiedBy>
  <cp:lastPrinted>2024-02-06T12:14:42Z</cp:lastPrinted>
  <dcterms:created xsi:type="dcterms:W3CDTF">2013-02-08T06:30:04Z</dcterms:created>
  <dcterms:modified xsi:type="dcterms:W3CDTF">2024-02-14T10:49:51Z</dcterms:modified>
</cp:coreProperties>
</file>